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Default Extension="wmf" ContentType="image/x-w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autoCompressPictures="0"/>
  <bookViews>
    <workbookView xWindow="420" yWindow="60" windowWidth="36760" windowHeight="22960" tabRatio="875" activeTab="10"/>
  </bookViews>
  <sheets>
    <sheet name="Actif" sheetId="12" r:id="rId1"/>
    <sheet name="Passif" sheetId="15" r:id="rId2"/>
    <sheet name="CDR" sheetId="13" r:id="rId3"/>
    <sheet name="Actionnariat" sheetId="16" r:id="rId4"/>
    <sheet name="Données XXX" sheetId="17" r:id="rId5"/>
    <sheet name="P&amp;L_2010_et_2011" sheetId="22" r:id="rId6"/>
    <sheet name="Hypothèses CDR" sheetId="23" r:id="rId7"/>
    <sheet name="CDR mensuel" sheetId="24" r:id="rId8"/>
    <sheet name="Hypothèses tréso." sheetId="25" r:id="rId9"/>
    <sheet name="Tréso.mensuelle" sheetId="26" r:id="rId10"/>
    <sheet name="Comparaison_2009_2010_vs_budget" sheetId="27" r:id="rId11"/>
    <sheet name="Feuil1" sheetId="21" r:id="rId12"/>
  </sheets>
  <externalReferences>
    <externalReference r:id="rId13"/>
    <externalReference r:id="rId14"/>
    <externalReference r:id="rId15"/>
  </externalReferences>
  <definedNames>
    <definedName name="_xlnm.Print_Area" localSheetId="0">Actif!$A$1:$I$18</definedName>
    <definedName name="_xlnm.Print_Area" localSheetId="2">CDR!$A$1:$E$46</definedName>
    <definedName name="_xlnm.Print_Area" localSheetId="5">'P&amp;L_2010_et_2011'!$A$1:$N$69</definedName>
    <definedName name="_xlnm.Print_Area" localSheetId="1">Passif!$A$1:$J$1</definedName>
    <definedName name="_xlnm.Print_Area" localSheetId="9">Tréso.mensuelle!$A$1:$M$55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3" i="22" l="1"/>
  <c r="T15" i="22"/>
  <c r="T8" i="22"/>
  <c r="U8" i="22"/>
  <c r="U15" i="22"/>
  <c r="G4" i="22"/>
  <c r="W8" i="22"/>
  <c r="W16" i="22"/>
  <c r="W18" i="22"/>
  <c r="T20" i="22"/>
  <c r="W19" i="22"/>
  <c r="W20" i="22"/>
  <c r="T29" i="22"/>
  <c r="T30" i="22"/>
  <c r="T32" i="22"/>
  <c r="T33" i="22"/>
  <c r="T34" i="22"/>
  <c r="T35" i="22"/>
  <c r="N38" i="27"/>
  <c r="H38" i="27"/>
  <c r="K38" i="27"/>
  <c r="J38" i="27"/>
  <c r="F38" i="27"/>
  <c r="C38" i="27"/>
  <c r="N32" i="27"/>
  <c r="H32" i="27"/>
  <c r="K32" i="27"/>
  <c r="J32" i="27"/>
  <c r="F32" i="27"/>
  <c r="P31" i="27"/>
  <c r="R31" i="27"/>
  <c r="N31" i="27"/>
  <c r="K31" i="27"/>
  <c r="J31" i="27"/>
  <c r="F31" i="27"/>
  <c r="P30" i="27"/>
  <c r="P32" i="27"/>
  <c r="N30" i="27"/>
  <c r="K30" i="27"/>
  <c r="J30" i="27"/>
  <c r="F30" i="27"/>
  <c r="P29" i="27"/>
  <c r="R29" i="27"/>
  <c r="N29" i="27"/>
  <c r="K29" i="27"/>
  <c r="J29" i="27"/>
  <c r="F29" i="27"/>
  <c r="M28" i="27"/>
  <c r="M34" i="27"/>
  <c r="M36" i="27"/>
  <c r="E28" i="27"/>
  <c r="F28" i="27"/>
  <c r="P27" i="27"/>
  <c r="M27" i="27"/>
  <c r="R27" i="27"/>
  <c r="N27" i="27"/>
  <c r="H27" i="27"/>
  <c r="J27" i="27"/>
  <c r="F27" i="27"/>
  <c r="C27" i="27"/>
  <c r="P26" i="27"/>
  <c r="S26" i="27"/>
  <c r="R26" i="27"/>
  <c r="N26" i="27"/>
  <c r="K26" i="27"/>
  <c r="J26" i="27"/>
  <c r="F26" i="27"/>
  <c r="M25" i="27"/>
  <c r="N25" i="27"/>
  <c r="H25" i="27"/>
  <c r="K25" i="27"/>
  <c r="J25" i="27"/>
  <c r="F25" i="27"/>
  <c r="C25" i="27"/>
  <c r="N24" i="27"/>
  <c r="K24" i="27"/>
  <c r="J24" i="27"/>
  <c r="F24" i="27"/>
  <c r="N23" i="27"/>
  <c r="K23" i="27"/>
  <c r="J23" i="27"/>
  <c r="F23" i="27"/>
  <c r="M22" i="27"/>
  <c r="N22" i="27"/>
  <c r="H22" i="27"/>
  <c r="J22" i="27"/>
  <c r="F22" i="27"/>
  <c r="C22" i="27"/>
  <c r="P21" i="27"/>
  <c r="S21" i="27"/>
  <c r="R21" i="27"/>
  <c r="N21" i="27"/>
  <c r="K21" i="27"/>
  <c r="J21" i="27"/>
  <c r="F21" i="27"/>
  <c r="P20" i="27"/>
  <c r="S20" i="27"/>
  <c r="R20" i="27"/>
  <c r="N20" i="27"/>
  <c r="K20" i="27"/>
  <c r="J20" i="27"/>
  <c r="F20" i="27"/>
  <c r="P19" i="27"/>
  <c r="S19" i="27"/>
  <c r="R19" i="27"/>
  <c r="N19" i="27"/>
  <c r="K19" i="27"/>
  <c r="J19" i="27"/>
  <c r="F19" i="27"/>
  <c r="P18" i="27"/>
  <c r="M18" i="27"/>
  <c r="S18" i="27"/>
  <c r="R18" i="27"/>
  <c r="N18" i="27"/>
  <c r="H18" i="27"/>
  <c r="K18" i="27"/>
  <c r="H28" i="27"/>
  <c r="F18" i="27"/>
  <c r="C18" i="27"/>
  <c r="P17" i="27"/>
  <c r="R17" i="27"/>
  <c r="N17" i="27"/>
  <c r="K17" i="27"/>
  <c r="J17" i="27"/>
  <c r="F17" i="27"/>
  <c r="P16" i="27"/>
  <c r="R16" i="27"/>
  <c r="N16" i="27"/>
  <c r="K16" i="27"/>
  <c r="J16" i="27"/>
  <c r="F16" i="27"/>
  <c r="P15" i="27"/>
  <c r="R15" i="27"/>
  <c r="N15" i="27"/>
  <c r="K15" i="27"/>
  <c r="J15" i="27"/>
  <c r="F15" i="27"/>
  <c r="P14" i="27"/>
  <c r="N14" i="27"/>
  <c r="K14" i="27"/>
  <c r="J14" i="27"/>
  <c r="F14" i="27"/>
  <c r="P13" i="27"/>
  <c r="N13" i="27"/>
  <c r="K13" i="27"/>
  <c r="J13" i="27"/>
  <c r="F13" i="27"/>
  <c r="P12" i="27"/>
  <c r="N12" i="27"/>
  <c r="K12" i="27"/>
  <c r="J12" i="27"/>
  <c r="F12" i="27"/>
  <c r="P11" i="27"/>
  <c r="M11" i="27"/>
  <c r="N11" i="27"/>
  <c r="K11" i="27"/>
  <c r="J11" i="27"/>
  <c r="F11" i="27"/>
  <c r="F34" i="27"/>
  <c r="C11" i="27"/>
  <c r="C34" i="27"/>
  <c r="N10" i="27"/>
  <c r="H10" i="27"/>
  <c r="E10" i="27"/>
  <c r="K10" i="27"/>
  <c r="H34" i="27"/>
  <c r="F10" i="27"/>
  <c r="E34" i="27"/>
  <c r="E36" i="27"/>
  <c r="C10" i="27"/>
  <c r="C4" i="27"/>
  <c r="D10" i="27"/>
  <c r="N8" i="27"/>
  <c r="H4" i="27"/>
  <c r="H8" i="27"/>
  <c r="F8" i="27"/>
  <c r="I4" i="27"/>
  <c r="I15" i="27"/>
  <c r="D4" i="27"/>
  <c r="D8" i="27"/>
  <c r="D15" i="27"/>
  <c r="B39" i="26"/>
  <c r="M34" i="26"/>
  <c r="K34" i="26"/>
  <c r="J34" i="26"/>
  <c r="H34" i="26"/>
  <c r="G34" i="26"/>
  <c r="F34" i="26"/>
  <c r="E34" i="26"/>
  <c r="D34" i="26"/>
  <c r="C34" i="26"/>
  <c r="B34" i="26"/>
  <c r="M33" i="26"/>
  <c r="L33" i="26"/>
  <c r="K33" i="26"/>
  <c r="J33" i="26"/>
  <c r="I33" i="26"/>
  <c r="H33" i="26"/>
  <c r="G33" i="26"/>
  <c r="F33" i="26"/>
  <c r="E33" i="26"/>
  <c r="D33" i="26"/>
  <c r="C33" i="26"/>
  <c r="B33" i="26"/>
  <c r="M32" i="26"/>
  <c r="L32" i="26"/>
  <c r="K32" i="26"/>
  <c r="J32" i="26"/>
  <c r="I32" i="26"/>
  <c r="H32" i="26"/>
  <c r="G32" i="26"/>
  <c r="F32" i="26"/>
  <c r="E32" i="26"/>
  <c r="D32" i="26"/>
  <c r="C32" i="26"/>
  <c r="B32" i="26"/>
  <c r="M31" i="26"/>
  <c r="L31" i="26"/>
  <c r="K31" i="26"/>
  <c r="J31" i="26"/>
  <c r="I31" i="26"/>
  <c r="H31" i="26"/>
  <c r="G31" i="26"/>
  <c r="F31" i="26"/>
  <c r="E31" i="26"/>
  <c r="D31" i="26"/>
  <c r="C31" i="26"/>
  <c r="B31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M29" i="26"/>
  <c r="L29" i="26"/>
  <c r="K29" i="26"/>
  <c r="J29" i="26"/>
  <c r="I29" i="26"/>
  <c r="H29" i="26"/>
  <c r="G29" i="26"/>
  <c r="F29" i="26"/>
  <c r="E29" i="26"/>
  <c r="D29" i="26"/>
  <c r="C29" i="26"/>
  <c r="B29" i="26"/>
  <c r="B26" i="26"/>
  <c r="B9" i="26"/>
  <c r="G5" i="26"/>
  <c r="F5" i="26"/>
  <c r="B2" i="26"/>
  <c r="B95" i="25"/>
  <c r="B101" i="25"/>
  <c r="B91" i="25"/>
  <c r="D91" i="25"/>
  <c r="B90" i="25"/>
  <c r="D90" i="25"/>
  <c r="C89" i="25"/>
  <c r="B89" i="25"/>
  <c r="D89" i="25"/>
  <c r="C87" i="25"/>
  <c r="B87" i="25"/>
  <c r="D87" i="25"/>
  <c r="C86" i="25"/>
  <c r="B86" i="25"/>
  <c r="D86" i="25"/>
  <c r="C85" i="25"/>
  <c r="B85" i="25"/>
  <c r="B92" i="25"/>
  <c r="C72" i="25"/>
  <c r="E72" i="25"/>
  <c r="E71" i="25"/>
  <c r="E70" i="25"/>
  <c r="E69" i="25"/>
  <c r="C68" i="25"/>
  <c r="C73" i="25"/>
  <c r="B68" i="25"/>
  <c r="E64" i="25"/>
  <c r="B60" i="25"/>
  <c r="B55" i="25"/>
  <c r="B53" i="25"/>
  <c r="B52" i="25"/>
  <c r="B51" i="25"/>
  <c r="C88" i="25"/>
  <c r="D88" i="25"/>
  <c r="I11" i="25"/>
  <c r="H11" i="25"/>
  <c r="G11" i="25"/>
  <c r="F11" i="25"/>
  <c r="E11" i="25"/>
  <c r="D11" i="25"/>
  <c r="B11" i="25"/>
  <c r="H9" i="26"/>
  <c r="D8" i="25"/>
  <c r="C8" i="25"/>
  <c r="B8" i="25"/>
  <c r="B5" i="26"/>
  <c r="B6" i="25"/>
  <c r="B5" i="25"/>
  <c r="N2" i="25"/>
  <c r="M2" i="25"/>
  <c r="L2" i="25"/>
  <c r="K2" i="25"/>
  <c r="J2" i="25"/>
  <c r="I2" i="25"/>
  <c r="H2" i="25"/>
  <c r="G2" i="25"/>
  <c r="F2" i="25"/>
  <c r="E2" i="25"/>
  <c r="D2" i="25"/>
  <c r="N34" i="24"/>
  <c r="N31" i="24"/>
  <c r="N29" i="24"/>
  <c r="N27" i="24"/>
  <c r="N8" i="24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B32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N9" i="23"/>
  <c r="M9" i="23"/>
  <c r="L9" i="23"/>
  <c r="K9" i="23"/>
  <c r="J9" i="23"/>
  <c r="I9" i="23"/>
  <c r="H9" i="23"/>
  <c r="G9" i="23"/>
  <c r="F9" i="23"/>
  <c r="E9" i="23"/>
  <c r="D9" i="23"/>
  <c r="C9" i="23"/>
  <c r="B9" i="23"/>
  <c r="N3" i="23"/>
  <c r="M3" i="23"/>
  <c r="L3" i="23"/>
  <c r="K3" i="23"/>
  <c r="J3" i="23"/>
  <c r="I3" i="23"/>
  <c r="H3" i="23"/>
  <c r="G3" i="23"/>
  <c r="F3" i="23"/>
  <c r="E3" i="23"/>
  <c r="D3" i="23"/>
  <c r="C5" i="24"/>
  <c r="C3" i="23"/>
  <c r="D40" i="22"/>
  <c r="D4" i="22"/>
  <c r="D8" i="22"/>
  <c r="E40" i="22"/>
  <c r="B40" i="22"/>
  <c r="B4" i="22"/>
  <c r="B8" i="22"/>
  <c r="C40" i="22"/>
  <c r="G36" i="22"/>
  <c r="P38" i="27"/>
  <c r="D36" i="22"/>
  <c r="B36" i="22"/>
  <c r="M35" i="22"/>
  <c r="D35" i="22"/>
  <c r="J35" i="22"/>
  <c r="B35" i="22"/>
  <c r="C35" i="22"/>
  <c r="J29" i="22"/>
  <c r="I29" i="22"/>
  <c r="J28" i="22"/>
  <c r="I28" i="22"/>
  <c r="K27" i="22"/>
  <c r="M27" i="22"/>
  <c r="J27" i="22"/>
  <c r="I27" i="22"/>
  <c r="N26" i="22"/>
  <c r="M26" i="22"/>
  <c r="J26" i="22"/>
  <c r="I26" i="22"/>
  <c r="G25" i="22"/>
  <c r="P25" i="27"/>
  <c r="D25" i="22"/>
  <c r="E25" i="22"/>
  <c r="B25" i="22"/>
  <c r="C25" i="22"/>
  <c r="K24" i="22"/>
  <c r="G24" i="22"/>
  <c r="M24" i="22"/>
  <c r="P24" i="27"/>
  <c r="G23" i="22"/>
  <c r="P23" i="27"/>
  <c r="G22" i="22"/>
  <c r="P22" i="27"/>
  <c r="D22" i="22"/>
  <c r="E22" i="22"/>
  <c r="B22" i="22"/>
  <c r="C22" i="22"/>
  <c r="K21" i="22"/>
  <c r="M21" i="22"/>
  <c r="J21" i="22"/>
  <c r="I21" i="22"/>
  <c r="N20" i="22"/>
  <c r="M20" i="22"/>
  <c r="J20" i="22"/>
  <c r="I20" i="22"/>
  <c r="N19" i="22"/>
  <c r="M19" i="22"/>
  <c r="J19" i="22"/>
  <c r="I19" i="22"/>
  <c r="N18" i="22"/>
  <c r="M18" i="22"/>
  <c r="D18" i="22"/>
  <c r="I18" i="22"/>
  <c r="J18" i="22"/>
  <c r="B18" i="22"/>
  <c r="N17" i="22"/>
  <c r="M17" i="22"/>
  <c r="J17" i="22"/>
  <c r="I17" i="22"/>
  <c r="N16" i="22"/>
  <c r="M16" i="22"/>
  <c r="J16" i="22"/>
  <c r="I16" i="22"/>
  <c r="N15" i="22"/>
  <c r="M15" i="22"/>
  <c r="J15" i="22"/>
  <c r="I15" i="22"/>
  <c r="N14" i="22"/>
  <c r="M14" i="22"/>
  <c r="J14" i="22"/>
  <c r="I14" i="22"/>
  <c r="K13" i="22"/>
  <c r="N13" i="22"/>
  <c r="B11" i="23"/>
  <c r="J13" i="22"/>
  <c r="I13" i="22"/>
  <c r="K12" i="22"/>
  <c r="G12" i="22"/>
  <c r="P10" i="27"/>
  <c r="D12" i="22"/>
  <c r="D31" i="22"/>
  <c r="B12" i="22"/>
  <c r="C12" i="22"/>
  <c r="N11" i="22"/>
  <c r="M11" i="22"/>
  <c r="J11" i="22"/>
  <c r="I11" i="22"/>
  <c r="N10" i="22"/>
  <c r="M10" i="22"/>
  <c r="J10" i="22"/>
  <c r="I10" i="22"/>
  <c r="B10" i="22"/>
  <c r="B31" i="22"/>
  <c r="E47" i="22"/>
  <c r="C47" i="22"/>
  <c r="G6" i="22"/>
  <c r="D6" i="22"/>
  <c r="I6" i="22"/>
  <c r="E6" i="22"/>
  <c r="B6" i="22"/>
  <c r="C6" i="22"/>
  <c r="J5" i="22"/>
  <c r="I5" i="22"/>
  <c r="E5" i="22"/>
  <c r="E4" i="22"/>
  <c r="E8" i="22"/>
  <c r="E29" i="22"/>
  <c r="C4" i="22"/>
  <c r="C8" i="22"/>
  <c r="C28" i="22"/>
  <c r="L11" i="24"/>
  <c r="J11" i="24"/>
  <c r="H11" i="24"/>
  <c r="F11" i="24"/>
  <c r="D11" i="24"/>
  <c r="B11" i="24"/>
  <c r="M11" i="24"/>
  <c r="K11" i="24"/>
  <c r="I11" i="24"/>
  <c r="K13" i="26"/>
  <c r="G11" i="24"/>
  <c r="E11" i="24"/>
  <c r="G13" i="26"/>
  <c r="C11" i="24"/>
  <c r="C13" i="26"/>
  <c r="K28" i="22"/>
  <c r="C5" i="22"/>
  <c r="J6" i="22"/>
  <c r="E10" i="22"/>
  <c r="E11" i="22"/>
  <c r="E12" i="22"/>
  <c r="J12" i="22"/>
  <c r="N12" i="22"/>
  <c r="E13" i="22"/>
  <c r="M13" i="22"/>
  <c r="E14" i="22"/>
  <c r="E15" i="22"/>
  <c r="E16" i="22"/>
  <c r="C17" i="22"/>
  <c r="E19" i="22"/>
  <c r="C20" i="22"/>
  <c r="C21" i="22"/>
  <c r="N21" i="22"/>
  <c r="J22" i="22"/>
  <c r="E23" i="22"/>
  <c r="J23" i="22"/>
  <c r="E24" i="22"/>
  <c r="J24" i="22"/>
  <c r="N24" i="22"/>
  <c r="J25" i="22"/>
  <c r="M25" i="22"/>
  <c r="C26" i="22"/>
  <c r="C27" i="22"/>
  <c r="N27" i="22"/>
  <c r="E28" i="22"/>
  <c r="C29" i="22"/>
  <c r="B33" i="22"/>
  <c r="D33" i="22"/>
  <c r="E35" i="22"/>
  <c r="I35" i="22"/>
  <c r="C36" i="22"/>
  <c r="R38" i="27"/>
  <c r="S38" i="27"/>
  <c r="I36" i="22"/>
  <c r="E44" i="22"/>
  <c r="E46" i="22"/>
  <c r="E5" i="24"/>
  <c r="E4" i="24"/>
  <c r="G5" i="24"/>
  <c r="G4" i="24"/>
  <c r="I5" i="24"/>
  <c r="I4" i="24"/>
  <c r="K5" i="24"/>
  <c r="K4" i="24"/>
  <c r="M5" i="24"/>
  <c r="M4" i="24"/>
  <c r="L9" i="24"/>
  <c r="J9" i="24"/>
  <c r="H9" i="24"/>
  <c r="F9" i="24"/>
  <c r="D9" i="24"/>
  <c r="B9" i="24"/>
  <c r="M9" i="24"/>
  <c r="K9" i="24"/>
  <c r="I9" i="24"/>
  <c r="G9" i="24"/>
  <c r="E9" i="24"/>
  <c r="C9" i="24"/>
  <c r="B10" i="23"/>
  <c r="L12" i="24"/>
  <c r="J12" i="24"/>
  <c r="H12" i="24"/>
  <c r="F12" i="24"/>
  <c r="D12" i="24"/>
  <c r="B12" i="24"/>
  <c r="M12" i="24"/>
  <c r="K12" i="24"/>
  <c r="I12" i="24"/>
  <c r="K14" i="26"/>
  <c r="G12" i="24"/>
  <c r="E12" i="24"/>
  <c r="G14" i="26"/>
  <c r="C12" i="24"/>
  <c r="C14" i="26"/>
  <c r="L13" i="24"/>
  <c r="J13" i="24"/>
  <c r="H13" i="24"/>
  <c r="F13" i="24"/>
  <c r="D13" i="24"/>
  <c r="B13" i="24"/>
  <c r="M13" i="24"/>
  <c r="K13" i="24"/>
  <c r="M15" i="26"/>
  <c r="I13" i="24"/>
  <c r="G13" i="24"/>
  <c r="I15" i="26"/>
  <c r="E13" i="24"/>
  <c r="C13" i="24"/>
  <c r="L14" i="24"/>
  <c r="J14" i="24"/>
  <c r="H14" i="24"/>
  <c r="F14" i="24"/>
  <c r="D14" i="24"/>
  <c r="B14" i="24"/>
  <c r="M14" i="24"/>
  <c r="K14" i="24"/>
  <c r="I14" i="24"/>
  <c r="K16" i="26"/>
  <c r="G14" i="24"/>
  <c r="E14" i="24"/>
  <c r="G16" i="26"/>
  <c r="C14" i="24"/>
  <c r="C16" i="26"/>
  <c r="L15" i="24"/>
  <c r="J15" i="24"/>
  <c r="H15" i="24"/>
  <c r="F15" i="24"/>
  <c r="D15" i="24"/>
  <c r="B15" i="24"/>
  <c r="M15" i="24"/>
  <c r="K15" i="24"/>
  <c r="M17" i="26"/>
  <c r="I15" i="24"/>
  <c r="G15" i="24"/>
  <c r="I17" i="26"/>
  <c r="E15" i="24"/>
  <c r="C15" i="24"/>
  <c r="L16" i="24"/>
  <c r="J16" i="24"/>
  <c r="H16" i="24"/>
  <c r="F16" i="24"/>
  <c r="D16" i="24"/>
  <c r="B16" i="24"/>
  <c r="M16" i="24"/>
  <c r="K16" i="24"/>
  <c r="I16" i="24"/>
  <c r="K18" i="26"/>
  <c r="G16" i="24"/>
  <c r="E16" i="24"/>
  <c r="G18" i="26"/>
  <c r="C16" i="24"/>
  <c r="C18" i="26"/>
  <c r="L17" i="24"/>
  <c r="J17" i="24"/>
  <c r="H17" i="24"/>
  <c r="F17" i="24"/>
  <c r="D17" i="24"/>
  <c r="B17" i="24"/>
  <c r="M17" i="24"/>
  <c r="K17" i="24"/>
  <c r="M19" i="26"/>
  <c r="I17" i="24"/>
  <c r="G17" i="24"/>
  <c r="I19" i="26"/>
  <c r="E17" i="24"/>
  <c r="C17" i="24"/>
  <c r="B18" i="23"/>
  <c r="B21" i="23"/>
  <c r="L22" i="24"/>
  <c r="J22" i="24"/>
  <c r="H22" i="24"/>
  <c r="F22" i="24"/>
  <c r="D22" i="24"/>
  <c r="B22" i="24"/>
  <c r="M22" i="24"/>
  <c r="K22" i="24"/>
  <c r="I22" i="24"/>
  <c r="K24" i="26"/>
  <c r="G22" i="24"/>
  <c r="E22" i="24"/>
  <c r="G24" i="26"/>
  <c r="C22" i="24"/>
  <c r="C24" i="26"/>
  <c r="L23" i="24"/>
  <c r="L28" i="26"/>
  <c r="J23" i="24"/>
  <c r="J28" i="26"/>
  <c r="H23" i="24"/>
  <c r="H28" i="26"/>
  <c r="F23" i="24"/>
  <c r="F28" i="26"/>
  <c r="D23" i="24"/>
  <c r="D28" i="26"/>
  <c r="B23" i="24"/>
  <c r="M23" i="24"/>
  <c r="M28" i="26"/>
  <c r="K23" i="24"/>
  <c r="K28" i="26"/>
  <c r="I23" i="24"/>
  <c r="I28" i="26"/>
  <c r="G23" i="24"/>
  <c r="G28" i="26"/>
  <c r="E23" i="24"/>
  <c r="E28" i="26"/>
  <c r="C23" i="24"/>
  <c r="C28" i="26"/>
  <c r="B24" i="23"/>
  <c r="M33" i="24"/>
  <c r="K33" i="24"/>
  <c r="I33" i="24"/>
  <c r="G33" i="24"/>
  <c r="L33" i="24"/>
  <c r="J33" i="24"/>
  <c r="H33" i="24"/>
  <c r="F33" i="24"/>
  <c r="D33" i="24"/>
  <c r="E33" i="24"/>
  <c r="B33" i="24"/>
  <c r="C33" i="24"/>
  <c r="N33" i="24"/>
  <c r="C4" i="24"/>
  <c r="C10" i="22"/>
  <c r="C11" i="22"/>
  <c r="S10" i="27"/>
  <c r="R10" i="27"/>
  <c r="I12" i="22"/>
  <c r="I22" i="22"/>
  <c r="I23" i="22"/>
  <c r="I24" i="22"/>
  <c r="I25" i="22"/>
  <c r="I31" i="22"/>
  <c r="M12" i="22"/>
  <c r="C13" i="22"/>
  <c r="C14" i="22"/>
  <c r="C15" i="22"/>
  <c r="C16" i="22"/>
  <c r="E17" i="22"/>
  <c r="C18" i="22"/>
  <c r="E18" i="22"/>
  <c r="C19" i="22"/>
  <c r="E20" i="22"/>
  <c r="E21" i="22"/>
  <c r="R22" i="27"/>
  <c r="S22" i="27"/>
  <c r="K22" i="22"/>
  <c r="C23" i="22"/>
  <c r="R23" i="27"/>
  <c r="S23" i="27"/>
  <c r="K23" i="22"/>
  <c r="C24" i="22"/>
  <c r="R24" i="27"/>
  <c r="S24" i="27"/>
  <c r="S25" i="27"/>
  <c r="R25" i="27"/>
  <c r="N25" i="22"/>
  <c r="E26" i="22"/>
  <c r="E27" i="22"/>
  <c r="G31" i="22"/>
  <c r="J31" i="22"/>
  <c r="J36" i="22"/>
  <c r="M36" i="22"/>
  <c r="C44" i="22"/>
  <c r="C46" i="22"/>
  <c r="B5" i="24"/>
  <c r="B4" i="24"/>
  <c r="D5" i="24"/>
  <c r="D4" i="24"/>
  <c r="F5" i="24"/>
  <c r="F4" i="24"/>
  <c r="H5" i="24"/>
  <c r="H4" i="24"/>
  <c r="J5" i="24"/>
  <c r="J4" i="24"/>
  <c r="L5" i="24"/>
  <c r="L4" i="24"/>
  <c r="L32" i="24"/>
  <c r="J32" i="24"/>
  <c r="H32" i="24"/>
  <c r="F32" i="24"/>
  <c r="D32" i="24"/>
  <c r="B32" i="24"/>
  <c r="M32" i="24"/>
  <c r="K32" i="24"/>
  <c r="I32" i="24"/>
  <c r="G32" i="24"/>
  <c r="E32" i="24"/>
  <c r="C32" i="24"/>
  <c r="C92" i="25"/>
  <c r="L49" i="26"/>
  <c r="J49" i="26"/>
  <c r="H49" i="26"/>
  <c r="F49" i="26"/>
  <c r="D49" i="26"/>
  <c r="B49" i="26"/>
  <c r="M49" i="26"/>
  <c r="K49" i="26"/>
  <c r="I49" i="26"/>
  <c r="G49" i="26"/>
  <c r="E49" i="26"/>
  <c r="C49" i="26"/>
  <c r="L52" i="26"/>
  <c r="J52" i="26"/>
  <c r="H52" i="26"/>
  <c r="F52" i="26"/>
  <c r="D52" i="26"/>
  <c r="B52" i="26"/>
  <c r="M52" i="26"/>
  <c r="K52" i="26"/>
  <c r="I52" i="26"/>
  <c r="G52" i="26"/>
  <c r="E52" i="26"/>
  <c r="C52" i="26"/>
  <c r="E68" i="25"/>
  <c r="B73" i="25"/>
  <c r="C75" i="25"/>
  <c r="D85" i="25"/>
  <c r="D92" i="25"/>
  <c r="B99" i="25"/>
  <c r="B100" i="25"/>
  <c r="E9" i="26"/>
  <c r="G9" i="26"/>
  <c r="B49" i="25"/>
  <c r="L48" i="26"/>
  <c r="J48" i="26"/>
  <c r="H48" i="26"/>
  <c r="F48" i="26"/>
  <c r="D48" i="26"/>
  <c r="B48" i="26"/>
  <c r="M48" i="26"/>
  <c r="K48" i="26"/>
  <c r="I48" i="26"/>
  <c r="G48" i="26"/>
  <c r="E48" i="26"/>
  <c r="C48" i="26"/>
  <c r="B98" i="25"/>
  <c r="C99" i="25"/>
  <c r="B97" i="25"/>
  <c r="B37" i="25"/>
  <c r="D9" i="26"/>
  <c r="F9" i="26"/>
  <c r="I38" i="27"/>
  <c r="H36" i="27"/>
  <c r="I32" i="27"/>
  <c r="J8" i="27"/>
  <c r="I10" i="27"/>
  <c r="P28" i="27"/>
  <c r="S11" i="27"/>
  <c r="D12" i="27"/>
  <c r="I12" i="27"/>
  <c r="S12" i="27"/>
  <c r="D13" i="27"/>
  <c r="I13" i="27"/>
  <c r="S13" i="27"/>
  <c r="D14" i="27"/>
  <c r="I14" i="27"/>
  <c r="S14" i="27"/>
  <c r="D31" i="27"/>
  <c r="D30" i="27"/>
  <c r="D29" i="27"/>
  <c r="D24" i="27"/>
  <c r="D23" i="27"/>
  <c r="D22" i="27"/>
  <c r="D17" i="27"/>
  <c r="D16" i="27"/>
  <c r="D26" i="27"/>
  <c r="D21" i="27"/>
  <c r="D20" i="27"/>
  <c r="D19" i="27"/>
  <c r="I31" i="27"/>
  <c r="I30" i="27"/>
  <c r="I29" i="27"/>
  <c r="I25" i="27"/>
  <c r="I24" i="27"/>
  <c r="I23" i="27"/>
  <c r="I18" i="27"/>
  <c r="I17" i="27"/>
  <c r="I16" i="27"/>
  <c r="I26" i="27"/>
  <c r="I21" i="27"/>
  <c r="I20" i="27"/>
  <c r="I19" i="27"/>
  <c r="C8" i="27"/>
  <c r="I8" i="27"/>
  <c r="K8" i="27"/>
  <c r="E40" i="27"/>
  <c r="F40" i="27"/>
  <c r="F36" i="27"/>
  <c r="K34" i="27"/>
  <c r="J10" i="27"/>
  <c r="D11" i="27"/>
  <c r="I11" i="27"/>
  <c r="R11" i="27"/>
  <c r="R12" i="27"/>
  <c r="R13" i="27"/>
  <c r="R14" i="27"/>
  <c r="D18" i="27"/>
  <c r="J28" i="27"/>
  <c r="K28" i="27"/>
  <c r="I28" i="27"/>
  <c r="D25" i="27"/>
  <c r="M40" i="27"/>
  <c r="N40" i="27"/>
  <c r="N36" i="27"/>
  <c r="R32" i="27"/>
  <c r="S32" i="27"/>
  <c r="D38" i="27"/>
  <c r="S15" i="27"/>
  <c r="S16" i="27"/>
  <c r="S17" i="27"/>
  <c r="J18" i="27"/>
  <c r="I22" i="27"/>
  <c r="K22" i="27"/>
  <c r="I27" i="27"/>
  <c r="K27" i="27"/>
  <c r="S27" i="27"/>
  <c r="N28" i="27"/>
  <c r="N34" i="27"/>
  <c r="S29" i="27"/>
  <c r="S30" i="27"/>
  <c r="S31" i="27"/>
  <c r="R30" i="27"/>
  <c r="L35" i="26"/>
  <c r="J35" i="26"/>
  <c r="H35" i="26"/>
  <c r="F35" i="26"/>
  <c r="D35" i="26"/>
  <c r="B35" i="26"/>
  <c r="M35" i="26"/>
  <c r="K35" i="26"/>
  <c r="I35" i="26"/>
  <c r="G35" i="26"/>
  <c r="E35" i="26"/>
  <c r="C35" i="26"/>
  <c r="N5" i="24"/>
  <c r="L24" i="24"/>
  <c r="L36" i="26"/>
  <c r="J24" i="24"/>
  <c r="J36" i="26"/>
  <c r="H24" i="24"/>
  <c r="H36" i="26"/>
  <c r="F24" i="24"/>
  <c r="D24" i="24"/>
  <c r="D36" i="26"/>
  <c r="B24" i="24"/>
  <c r="C24" i="24"/>
  <c r="E24" i="24"/>
  <c r="G24" i="24"/>
  <c r="I24" i="24"/>
  <c r="K24" i="24"/>
  <c r="M24" i="24"/>
  <c r="M36" i="26"/>
  <c r="K36" i="26"/>
  <c r="I36" i="26"/>
  <c r="G36" i="26"/>
  <c r="C36" i="26"/>
  <c r="B28" i="26"/>
  <c r="B41" i="26"/>
  <c r="B43" i="26"/>
  <c r="N23" i="24"/>
  <c r="D24" i="26"/>
  <c r="H24" i="26"/>
  <c r="L24" i="26"/>
  <c r="L18" i="24"/>
  <c r="J18" i="24"/>
  <c r="H18" i="24"/>
  <c r="F18" i="24"/>
  <c r="D18" i="24"/>
  <c r="B18" i="24"/>
  <c r="M18" i="24"/>
  <c r="K18" i="24"/>
  <c r="I18" i="24"/>
  <c r="K20" i="26"/>
  <c r="G18" i="24"/>
  <c r="E18" i="24"/>
  <c r="G20" i="26"/>
  <c r="C18" i="24"/>
  <c r="C20" i="26"/>
  <c r="E19" i="26"/>
  <c r="N17" i="24"/>
  <c r="F19" i="26"/>
  <c r="J19" i="26"/>
  <c r="D18" i="26"/>
  <c r="H18" i="26"/>
  <c r="L18" i="26"/>
  <c r="E17" i="26"/>
  <c r="N15" i="24"/>
  <c r="F17" i="26"/>
  <c r="J17" i="26"/>
  <c r="D16" i="26"/>
  <c r="H16" i="26"/>
  <c r="L16" i="26"/>
  <c r="E15" i="26"/>
  <c r="N13" i="24"/>
  <c r="F15" i="26"/>
  <c r="J15" i="26"/>
  <c r="D14" i="26"/>
  <c r="H14" i="26"/>
  <c r="L14" i="26"/>
  <c r="C11" i="26"/>
  <c r="G11" i="26"/>
  <c r="K11" i="26"/>
  <c r="D11" i="26"/>
  <c r="H11" i="26"/>
  <c r="L11" i="26"/>
  <c r="E33" i="22"/>
  <c r="D38" i="22"/>
  <c r="E31" i="22"/>
  <c r="K29" i="22"/>
  <c r="D13" i="26"/>
  <c r="H13" i="26"/>
  <c r="L13" i="26"/>
  <c r="B75" i="25"/>
  <c r="D73" i="25"/>
  <c r="I34" i="27"/>
  <c r="J34" i="27"/>
  <c r="C36" i="27"/>
  <c r="D27" i="27"/>
  <c r="D34" i="27"/>
  <c r="R28" i="27"/>
  <c r="R34" i="27"/>
  <c r="S28" i="27"/>
  <c r="H40" i="27"/>
  <c r="J36" i="27"/>
  <c r="I36" i="27"/>
  <c r="L47" i="26"/>
  <c r="L51" i="26"/>
  <c r="J47" i="26"/>
  <c r="J51" i="26"/>
  <c r="H47" i="26"/>
  <c r="H51" i="26"/>
  <c r="F47" i="26"/>
  <c r="F51" i="26"/>
  <c r="D47" i="26"/>
  <c r="D51" i="26"/>
  <c r="B47" i="26"/>
  <c r="B51" i="26"/>
  <c r="M47" i="26"/>
  <c r="M51" i="26"/>
  <c r="K47" i="26"/>
  <c r="K51" i="26"/>
  <c r="I47" i="26"/>
  <c r="I51" i="26"/>
  <c r="G47" i="26"/>
  <c r="G51" i="26"/>
  <c r="E47" i="26"/>
  <c r="E51" i="26"/>
  <c r="C47" i="26"/>
  <c r="C51" i="26"/>
  <c r="B54" i="25"/>
  <c r="N32" i="24"/>
  <c r="N4" i="24"/>
  <c r="M23" i="22"/>
  <c r="B20" i="23"/>
  <c r="N23" i="22"/>
  <c r="M22" i="22"/>
  <c r="B19" i="23"/>
  <c r="N22" i="22"/>
  <c r="P34" i="27"/>
  <c r="S34" i="27"/>
  <c r="C31" i="22"/>
  <c r="I24" i="26"/>
  <c r="M24" i="26"/>
  <c r="E24" i="26"/>
  <c r="N22" i="24"/>
  <c r="F24" i="26"/>
  <c r="J24" i="26"/>
  <c r="L21" i="24"/>
  <c r="J21" i="24"/>
  <c r="H21" i="24"/>
  <c r="F21" i="24"/>
  <c r="D21" i="24"/>
  <c r="B21" i="24"/>
  <c r="M21" i="24"/>
  <c r="K21" i="24"/>
  <c r="I21" i="24"/>
  <c r="K23" i="26"/>
  <c r="G21" i="24"/>
  <c r="E21" i="24"/>
  <c r="G23" i="26"/>
  <c r="C21" i="24"/>
  <c r="C23" i="26"/>
  <c r="C19" i="26"/>
  <c r="G19" i="26"/>
  <c r="K19" i="26"/>
  <c r="D19" i="26"/>
  <c r="H19" i="26"/>
  <c r="L19" i="26"/>
  <c r="I18" i="26"/>
  <c r="M18" i="26"/>
  <c r="E18" i="26"/>
  <c r="N16" i="24"/>
  <c r="F18" i="26"/>
  <c r="J18" i="26"/>
  <c r="C17" i="26"/>
  <c r="G17" i="26"/>
  <c r="K17" i="26"/>
  <c r="D17" i="26"/>
  <c r="H17" i="26"/>
  <c r="L17" i="26"/>
  <c r="I16" i="26"/>
  <c r="M16" i="26"/>
  <c r="E16" i="26"/>
  <c r="N14" i="24"/>
  <c r="F16" i="26"/>
  <c r="J16" i="26"/>
  <c r="C15" i="26"/>
  <c r="G15" i="26"/>
  <c r="K15" i="26"/>
  <c r="D15" i="26"/>
  <c r="H15" i="26"/>
  <c r="L15" i="26"/>
  <c r="I14" i="26"/>
  <c r="M14" i="26"/>
  <c r="E14" i="26"/>
  <c r="N12" i="24"/>
  <c r="F14" i="26"/>
  <c r="J14" i="26"/>
  <c r="L10" i="24"/>
  <c r="J10" i="24"/>
  <c r="H10" i="24"/>
  <c r="F10" i="24"/>
  <c r="D10" i="24"/>
  <c r="B10" i="24"/>
  <c r="M10" i="24"/>
  <c r="K10" i="24"/>
  <c r="I10" i="24"/>
  <c r="K12" i="26"/>
  <c r="G10" i="24"/>
  <c r="E10" i="24"/>
  <c r="G12" i="26"/>
  <c r="C10" i="24"/>
  <c r="I11" i="26"/>
  <c r="M11" i="26"/>
  <c r="E11" i="26"/>
  <c r="N9" i="24"/>
  <c r="F11" i="26"/>
  <c r="J11" i="26"/>
  <c r="C33" i="22"/>
  <c r="B38" i="22"/>
  <c r="N28" i="22"/>
  <c r="B25" i="23"/>
  <c r="M28" i="22"/>
  <c r="I13" i="26"/>
  <c r="M13" i="26"/>
  <c r="E13" i="26"/>
  <c r="N11" i="24"/>
  <c r="F13" i="26"/>
  <c r="J13" i="26"/>
  <c r="P4" i="27"/>
  <c r="K4" i="22"/>
  <c r="G8" i="22"/>
  <c r="H4" i="22"/>
  <c r="J4" i="22"/>
  <c r="I4" i="22"/>
  <c r="I8" i="22"/>
  <c r="L25" i="24"/>
  <c r="L38" i="26"/>
  <c r="J25" i="24"/>
  <c r="J38" i="26"/>
  <c r="H25" i="24"/>
  <c r="H38" i="26"/>
  <c r="F25" i="24"/>
  <c r="F38" i="26"/>
  <c r="D25" i="24"/>
  <c r="D38" i="26"/>
  <c r="B25" i="24"/>
  <c r="C25" i="24"/>
  <c r="E25" i="24"/>
  <c r="G25" i="24"/>
  <c r="I25" i="24"/>
  <c r="K25" i="24"/>
  <c r="M25" i="24"/>
  <c r="M38" i="26"/>
  <c r="K38" i="26"/>
  <c r="I38" i="26"/>
  <c r="G38" i="26"/>
  <c r="E38" i="26"/>
  <c r="C38" i="26"/>
  <c r="K8" i="22"/>
  <c r="N4" i="22"/>
  <c r="B3" i="23"/>
  <c r="M4" i="22"/>
  <c r="M8" i="22"/>
  <c r="L4" i="22"/>
  <c r="L8" i="22"/>
  <c r="B42" i="22"/>
  <c r="C38" i="22"/>
  <c r="I12" i="26"/>
  <c r="M12" i="26"/>
  <c r="E12" i="26"/>
  <c r="N10" i="24"/>
  <c r="F12" i="26"/>
  <c r="J12" i="26"/>
  <c r="I23" i="26"/>
  <c r="M23" i="26"/>
  <c r="E23" i="26"/>
  <c r="N21" i="24"/>
  <c r="F23" i="26"/>
  <c r="J23" i="26"/>
  <c r="L19" i="24"/>
  <c r="J19" i="24"/>
  <c r="H19" i="24"/>
  <c r="F19" i="24"/>
  <c r="D19" i="24"/>
  <c r="B19" i="24"/>
  <c r="M19" i="24"/>
  <c r="K19" i="24"/>
  <c r="I19" i="24"/>
  <c r="K21" i="26"/>
  <c r="G19" i="24"/>
  <c r="E19" i="24"/>
  <c r="G21" i="26"/>
  <c r="C19" i="24"/>
  <c r="C21" i="26"/>
  <c r="L20" i="24"/>
  <c r="J20" i="24"/>
  <c r="H20" i="24"/>
  <c r="F20" i="24"/>
  <c r="D20" i="24"/>
  <c r="B20" i="24"/>
  <c r="M20" i="24"/>
  <c r="K20" i="24"/>
  <c r="I20" i="24"/>
  <c r="K22" i="26"/>
  <c r="G20" i="24"/>
  <c r="E20" i="24"/>
  <c r="G22" i="26"/>
  <c r="C20" i="24"/>
  <c r="C22" i="26"/>
  <c r="J40" i="27"/>
  <c r="K40" i="27"/>
  <c r="I40" i="27"/>
  <c r="D71" i="25"/>
  <c r="D70" i="25"/>
  <c r="D69" i="25"/>
  <c r="D68" i="25"/>
  <c r="D72" i="25"/>
  <c r="M29" i="22"/>
  <c r="M31" i="22"/>
  <c r="B26" i="23"/>
  <c r="B28" i="23"/>
  <c r="N29" i="22"/>
  <c r="L29" i="22"/>
  <c r="D42" i="22"/>
  <c r="E38" i="22"/>
  <c r="D20" i="26"/>
  <c r="H20" i="26"/>
  <c r="L20" i="26"/>
  <c r="H35" i="22"/>
  <c r="H28" i="22"/>
  <c r="H19" i="22"/>
  <c r="H16" i="22"/>
  <c r="H15" i="22"/>
  <c r="H14" i="22"/>
  <c r="H13" i="22"/>
  <c r="H11" i="22"/>
  <c r="H10" i="22"/>
  <c r="L36" i="22"/>
  <c r="L35" i="22"/>
  <c r="G33" i="22"/>
  <c r="H29" i="22"/>
  <c r="H27" i="22"/>
  <c r="H26" i="22"/>
  <c r="H21" i="22"/>
  <c r="H20" i="22"/>
  <c r="H18" i="22"/>
  <c r="H17" i="22"/>
  <c r="J8" i="22"/>
  <c r="H8" i="22"/>
  <c r="H5" i="22"/>
  <c r="H12" i="22"/>
  <c r="H23" i="22"/>
  <c r="H36" i="22"/>
  <c r="H6" i="22"/>
  <c r="H22" i="22"/>
  <c r="H24" i="22"/>
  <c r="H25" i="22"/>
  <c r="P8" i="27"/>
  <c r="Q4" i="27"/>
  <c r="D12" i="26"/>
  <c r="H12" i="26"/>
  <c r="L12" i="26"/>
  <c r="D23" i="26"/>
  <c r="H23" i="26"/>
  <c r="L23" i="26"/>
  <c r="C40" i="27"/>
  <c r="D40" i="27"/>
  <c r="D36" i="27"/>
  <c r="F41" i="25"/>
  <c r="K26" i="26"/>
  <c r="G26" i="26"/>
  <c r="C26" i="26"/>
  <c r="I20" i="26"/>
  <c r="M20" i="26"/>
  <c r="E20" i="26"/>
  <c r="N18" i="24"/>
  <c r="F20" i="26"/>
  <c r="J20" i="26"/>
  <c r="N24" i="24"/>
  <c r="K31" i="22"/>
  <c r="N31" i="22"/>
  <c r="Q26" i="27"/>
  <c r="Q21" i="27"/>
  <c r="Q20" i="27"/>
  <c r="Q19" i="27"/>
  <c r="Q18" i="27"/>
  <c r="P36" i="27"/>
  <c r="R8" i="27"/>
  <c r="S8" i="27"/>
  <c r="Q8" i="27"/>
  <c r="Q10" i="27"/>
  <c r="Q22" i="27"/>
  <c r="Q23" i="27"/>
  <c r="Q24" i="27"/>
  <c r="Q11" i="27"/>
  <c r="Q12" i="27"/>
  <c r="Q13" i="27"/>
  <c r="Q14" i="27"/>
  <c r="Q32" i="27"/>
  <c r="Q15" i="27"/>
  <c r="Q16" i="27"/>
  <c r="Q17" i="27"/>
  <c r="Q29" i="27"/>
  <c r="Q30" i="27"/>
  <c r="Q31" i="27"/>
  <c r="Q27" i="27"/>
  <c r="Q38" i="27"/>
  <c r="Q25" i="27"/>
  <c r="Q28" i="27"/>
  <c r="I33" i="22"/>
  <c r="G38" i="22"/>
  <c r="I38" i="22"/>
  <c r="D49" i="22"/>
  <c r="E42" i="22"/>
  <c r="M41" i="25"/>
  <c r="K41" i="25"/>
  <c r="G41" i="25"/>
  <c r="E41" i="25"/>
  <c r="N41" i="25"/>
  <c r="J41" i="25"/>
  <c r="H41" i="25"/>
  <c r="D41" i="25"/>
  <c r="I22" i="26"/>
  <c r="M22" i="26"/>
  <c r="E22" i="26"/>
  <c r="N20" i="24"/>
  <c r="F22" i="26"/>
  <c r="J22" i="26"/>
  <c r="I21" i="26"/>
  <c r="I26" i="26"/>
  <c r="M21" i="26"/>
  <c r="M26" i="26"/>
  <c r="E21" i="26"/>
  <c r="E26" i="26"/>
  <c r="N19" i="24"/>
  <c r="F21" i="26"/>
  <c r="F26" i="26"/>
  <c r="J21" i="26"/>
  <c r="J26" i="26"/>
  <c r="B49" i="22"/>
  <c r="C42" i="22"/>
  <c r="H31" i="22"/>
  <c r="L26" i="24"/>
  <c r="J26" i="24"/>
  <c r="H26" i="24"/>
  <c r="F26" i="24"/>
  <c r="G39" i="26"/>
  <c r="D26" i="24"/>
  <c r="B26" i="24"/>
  <c r="M26" i="24"/>
  <c r="M28" i="24"/>
  <c r="K26" i="24"/>
  <c r="L39" i="26"/>
  <c r="I26" i="24"/>
  <c r="J39" i="26"/>
  <c r="G26" i="24"/>
  <c r="E26" i="24"/>
  <c r="F39" i="26"/>
  <c r="C26" i="24"/>
  <c r="D39" i="26"/>
  <c r="D41" i="26"/>
  <c r="I41" i="25"/>
  <c r="L41" i="25"/>
  <c r="D22" i="26"/>
  <c r="H22" i="26"/>
  <c r="L22" i="26"/>
  <c r="D21" i="26"/>
  <c r="D26" i="26"/>
  <c r="H21" i="26"/>
  <c r="H26" i="26"/>
  <c r="L21" i="26"/>
  <c r="L26" i="26"/>
  <c r="M3" i="24"/>
  <c r="K3" i="24"/>
  <c r="I3" i="24"/>
  <c r="G3" i="24"/>
  <c r="E3" i="24"/>
  <c r="C3" i="24"/>
  <c r="L3" i="24"/>
  <c r="J3" i="24"/>
  <c r="H3" i="24"/>
  <c r="F3" i="24"/>
  <c r="D3" i="24"/>
  <c r="B3" i="24"/>
  <c r="B7" i="23"/>
  <c r="L26" i="22"/>
  <c r="L25" i="22"/>
  <c r="L20" i="22"/>
  <c r="L18" i="22"/>
  <c r="L17" i="22"/>
  <c r="L13" i="22"/>
  <c r="K33" i="22"/>
  <c r="L19" i="22"/>
  <c r="L16" i="22"/>
  <c r="L15" i="22"/>
  <c r="L14" i="22"/>
  <c r="L11" i="22"/>
  <c r="L10" i="22"/>
  <c r="N8" i="22"/>
  <c r="L12" i="22"/>
  <c r="L27" i="22"/>
  <c r="L21" i="22"/>
  <c r="L24" i="22"/>
  <c r="L23" i="22"/>
  <c r="L22" i="22"/>
  <c r="L28" i="22"/>
  <c r="N25" i="24"/>
  <c r="F41" i="26"/>
  <c r="D43" i="26"/>
  <c r="F43" i="26"/>
  <c r="L31" i="22"/>
  <c r="L33" i="22"/>
  <c r="K38" i="22"/>
  <c r="K69" i="22"/>
  <c r="M33" i="22"/>
  <c r="B4" i="26"/>
  <c r="B8" i="26"/>
  <c r="B44" i="26"/>
  <c r="B45" i="26"/>
  <c r="B53" i="26"/>
  <c r="C2" i="26"/>
  <c r="B7" i="24"/>
  <c r="N3" i="24"/>
  <c r="F4" i="26"/>
  <c r="F7" i="24"/>
  <c r="J4" i="26"/>
  <c r="J7" i="24"/>
  <c r="C4" i="26"/>
  <c r="C7" i="24"/>
  <c r="G4" i="26"/>
  <c r="G7" i="24"/>
  <c r="K4" i="26"/>
  <c r="K7" i="24"/>
  <c r="C39" i="26"/>
  <c r="C41" i="26"/>
  <c r="C43" i="26"/>
  <c r="B81" i="25"/>
  <c r="N26" i="24"/>
  <c r="K39" i="26"/>
  <c r="C49" i="22"/>
  <c r="B69" i="22"/>
  <c r="C69" i="22"/>
  <c r="I28" i="24"/>
  <c r="E28" i="24"/>
  <c r="E49" i="22"/>
  <c r="D69" i="22"/>
  <c r="E69" i="22"/>
  <c r="C28" i="24"/>
  <c r="Q34" i="27"/>
  <c r="P40" i="27"/>
  <c r="R36" i="27"/>
  <c r="S36" i="27"/>
  <c r="B30" i="23"/>
  <c r="D4" i="26"/>
  <c r="D8" i="26"/>
  <c r="D44" i="26"/>
  <c r="D7" i="24"/>
  <c r="H4" i="26"/>
  <c r="H7" i="24"/>
  <c r="L4" i="26"/>
  <c r="L7" i="24"/>
  <c r="E4" i="26"/>
  <c r="E8" i="26"/>
  <c r="E39" i="26"/>
  <c r="E41" i="26"/>
  <c r="E43" i="26"/>
  <c r="E44" i="26"/>
  <c r="E7" i="24"/>
  <c r="E30" i="24"/>
  <c r="E35" i="24"/>
  <c r="I4" i="26"/>
  <c r="I7" i="24"/>
  <c r="I30" i="24"/>
  <c r="I35" i="24"/>
  <c r="M4" i="26"/>
  <c r="M8" i="26"/>
  <c r="M7" i="24"/>
  <c r="M30" i="24"/>
  <c r="M35" i="24"/>
  <c r="H39" i="26"/>
  <c r="G28" i="24"/>
  <c r="D28" i="24"/>
  <c r="I39" i="26"/>
  <c r="H28" i="24"/>
  <c r="M39" i="26"/>
  <c r="L28" i="24"/>
  <c r="J28" i="24"/>
  <c r="F28" i="24"/>
  <c r="B28" i="24"/>
  <c r="K28" i="24"/>
  <c r="G69" i="22"/>
  <c r="J37" i="26"/>
  <c r="J41" i="26"/>
  <c r="J43" i="26"/>
  <c r="I8" i="26"/>
  <c r="J69" i="22"/>
  <c r="I69" i="22"/>
  <c r="N28" i="24"/>
  <c r="L30" i="24"/>
  <c r="L35" i="24"/>
  <c r="H30" i="24"/>
  <c r="H35" i="24"/>
  <c r="D30" i="24"/>
  <c r="D35" i="24"/>
  <c r="B35" i="23"/>
  <c r="S40" i="27"/>
  <c r="R40" i="27"/>
  <c r="K30" i="24"/>
  <c r="K35" i="24"/>
  <c r="G30" i="24"/>
  <c r="G35" i="24"/>
  <c r="C30" i="24"/>
  <c r="C35" i="24"/>
  <c r="J30" i="24"/>
  <c r="J35" i="24"/>
  <c r="F30" i="24"/>
  <c r="F35" i="24"/>
  <c r="L38" i="22"/>
  <c r="M38" i="22"/>
  <c r="M37" i="26"/>
  <c r="M41" i="26"/>
  <c r="M43" i="26"/>
  <c r="M44" i="26"/>
  <c r="L8" i="26"/>
  <c r="I37" i="26"/>
  <c r="I41" i="26"/>
  <c r="I43" i="26"/>
  <c r="H8" i="26"/>
  <c r="L37" i="26"/>
  <c r="L41" i="26"/>
  <c r="L43" i="26"/>
  <c r="K8" i="26"/>
  <c r="K37" i="26"/>
  <c r="K41" i="26"/>
  <c r="K43" i="26"/>
  <c r="K44" i="26"/>
  <c r="H37" i="26"/>
  <c r="H41" i="26"/>
  <c r="H43" i="26"/>
  <c r="G8" i="26"/>
  <c r="C5" i="26"/>
  <c r="C8" i="26"/>
  <c r="C44" i="26"/>
  <c r="C45" i="26"/>
  <c r="C53" i="26"/>
  <c r="D2" i="26"/>
  <c r="D45" i="26"/>
  <c r="D53" i="26"/>
  <c r="E2" i="26"/>
  <c r="E45" i="26"/>
  <c r="E53" i="26"/>
  <c r="F2" i="26"/>
  <c r="F8" i="26"/>
  <c r="F44" i="26"/>
  <c r="F45" i="26"/>
  <c r="F53" i="26"/>
  <c r="G2" i="26"/>
  <c r="J8" i="26"/>
  <c r="J44" i="26"/>
  <c r="G37" i="26"/>
  <c r="G41" i="26"/>
  <c r="G43" i="26"/>
  <c r="B30" i="24"/>
  <c r="N7" i="24"/>
  <c r="N69" i="22"/>
  <c r="L69" i="22"/>
  <c r="M69" i="22"/>
  <c r="B35" i="24"/>
  <c r="N35" i="24"/>
  <c r="N30" i="24"/>
  <c r="H44" i="26"/>
  <c r="L44" i="26"/>
  <c r="I44" i="26"/>
  <c r="G44" i="26"/>
  <c r="G45" i="26"/>
  <c r="G53" i="26"/>
  <c r="H2" i="26"/>
  <c r="H45" i="26"/>
  <c r="H53" i="26"/>
  <c r="I2" i="26"/>
  <c r="I45" i="26"/>
  <c r="I53" i="26"/>
  <c r="J2" i="26"/>
  <c r="J45" i="26"/>
  <c r="J53" i="26"/>
  <c r="K2" i="26"/>
  <c r="K45" i="26"/>
  <c r="K53" i="26"/>
  <c r="L2" i="26"/>
  <c r="L45" i="26"/>
  <c r="L53" i="26"/>
  <c r="M2" i="26"/>
  <c r="M45" i="26"/>
  <c r="M53" i="26"/>
  <c r="B2" i="16"/>
  <c r="B5" i="16"/>
  <c r="F44" i="13"/>
  <c r="F43" i="13"/>
  <c r="F40" i="13"/>
  <c r="F39" i="13"/>
  <c r="F34" i="13"/>
  <c r="F33" i="13"/>
  <c r="F24" i="13"/>
  <c r="F23" i="13"/>
  <c r="F22" i="13"/>
  <c r="F21" i="13"/>
  <c r="F19" i="13"/>
  <c r="F16" i="13"/>
  <c r="F15" i="13"/>
  <c r="F14" i="13"/>
  <c r="F11" i="13"/>
  <c r="F9" i="13"/>
  <c r="F6" i="13"/>
  <c r="F17" i="15"/>
  <c r="F13" i="15"/>
  <c r="F12" i="15"/>
  <c r="F11" i="15"/>
  <c r="F10" i="15"/>
  <c r="F8" i="15"/>
  <c r="F3" i="15"/>
  <c r="F4" i="15"/>
  <c r="F5" i="15"/>
  <c r="F2" i="15"/>
  <c r="D6" i="15"/>
  <c r="D14" i="15"/>
  <c r="B14" i="15"/>
  <c r="F14" i="15"/>
  <c r="B6" i="15"/>
  <c r="F6" i="15"/>
  <c r="F14" i="12"/>
  <c r="F11" i="12"/>
  <c r="F10" i="12"/>
  <c r="F7" i="12"/>
  <c r="F2" i="12"/>
  <c r="D9" i="12"/>
  <c r="B9" i="12"/>
  <c r="D30" i="13"/>
  <c r="D29" i="13"/>
  <c r="D7" i="13"/>
  <c r="D2" i="13"/>
  <c r="D4" i="13"/>
  <c r="B30" i="13"/>
  <c r="F30" i="13"/>
  <c r="B29" i="13"/>
  <c r="F29" i="13"/>
  <c r="B7" i="13"/>
  <c r="F7" i="13"/>
  <c r="B2" i="13"/>
  <c r="B4" i="13"/>
  <c r="C4" i="13"/>
  <c r="D42" i="13"/>
  <c r="B42" i="13"/>
  <c r="D36" i="13"/>
  <c r="B36" i="13"/>
  <c r="D20" i="13"/>
  <c r="B20" i="13"/>
  <c r="D18" i="13"/>
  <c r="B18" i="13"/>
  <c r="D17" i="13"/>
  <c r="B17" i="13"/>
  <c r="D13" i="13"/>
  <c r="B13" i="13"/>
  <c r="D12" i="13"/>
  <c r="F12" i="13"/>
  <c r="D10" i="13"/>
  <c r="B10" i="13"/>
  <c r="D8" i="13"/>
  <c r="F8" i="13"/>
  <c r="D5" i="13"/>
  <c r="F5" i="13"/>
  <c r="D8" i="12"/>
  <c r="B8" i="12"/>
  <c r="F8" i="12"/>
  <c r="D4" i="12"/>
  <c r="D3" i="12"/>
  <c r="B4" i="12"/>
  <c r="F4" i="12"/>
  <c r="B3" i="12"/>
  <c r="B5" i="12"/>
  <c r="F3" i="12"/>
  <c r="F9" i="12"/>
  <c r="F10" i="13"/>
  <c r="F13" i="13"/>
  <c r="F17" i="13"/>
  <c r="F18" i="13"/>
  <c r="F20" i="13"/>
  <c r="F36" i="13"/>
  <c r="F42" i="13"/>
  <c r="B12" i="12"/>
  <c r="D12" i="12"/>
  <c r="B15" i="15"/>
  <c r="D15" i="15"/>
  <c r="F15" i="15"/>
  <c r="E2" i="13"/>
  <c r="F4" i="13"/>
  <c r="B26" i="13"/>
  <c r="B28" i="13"/>
  <c r="F2" i="13"/>
  <c r="B19" i="15"/>
  <c r="E7" i="13"/>
  <c r="E12" i="13"/>
  <c r="E17" i="13"/>
  <c r="E20" i="13"/>
  <c r="E30" i="13"/>
  <c r="C17" i="13"/>
  <c r="C20" i="13"/>
  <c r="C30" i="13"/>
  <c r="C12" i="13"/>
  <c r="C9" i="13"/>
  <c r="C5" i="13"/>
  <c r="C44" i="13"/>
  <c r="C39" i="13"/>
  <c r="C33" i="13"/>
  <c r="C23" i="13"/>
  <c r="C21" i="13"/>
  <c r="C16" i="13"/>
  <c r="C14" i="13"/>
  <c r="C10" i="13"/>
  <c r="C6" i="13"/>
  <c r="C11" i="13"/>
  <c r="C43" i="13"/>
  <c r="C40" i="13"/>
  <c r="C34" i="13"/>
  <c r="C24" i="13"/>
  <c r="C22" i="13"/>
  <c r="C19" i="13"/>
  <c r="C15" i="13"/>
  <c r="C8" i="13"/>
  <c r="C2" i="13"/>
  <c r="E44" i="13"/>
  <c r="E39" i="13"/>
  <c r="E33" i="13"/>
  <c r="E23" i="13"/>
  <c r="E21" i="13"/>
  <c r="E16" i="13"/>
  <c r="E14" i="13"/>
  <c r="E6" i="13"/>
  <c r="E11" i="13"/>
  <c r="E8" i="13"/>
  <c r="E43" i="13"/>
  <c r="E40" i="13"/>
  <c r="E34" i="13"/>
  <c r="E24" i="13"/>
  <c r="E22" i="13"/>
  <c r="E19" i="13"/>
  <c r="E15" i="13"/>
  <c r="E10" i="13"/>
  <c r="E9" i="13"/>
  <c r="E4" i="13"/>
  <c r="C13" i="13"/>
  <c r="C18" i="13"/>
  <c r="C29" i="13"/>
  <c r="E5" i="13"/>
  <c r="E13" i="13"/>
  <c r="E18" i="13"/>
  <c r="E29" i="13"/>
  <c r="D26" i="13"/>
  <c r="E26" i="13"/>
  <c r="C7" i="13"/>
  <c r="D5" i="12"/>
  <c r="F5" i="12"/>
  <c r="B16" i="12"/>
  <c r="F12" i="12"/>
  <c r="C12" i="12"/>
  <c r="D19" i="15"/>
  <c r="B32" i="13"/>
  <c r="C26" i="13"/>
  <c r="F26" i="13"/>
  <c r="C19" i="15"/>
  <c r="C14" i="15"/>
  <c r="C10" i="15"/>
  <c r="C5" i="15"/>
  <c r="C17" i="15"/>
  <c r="C13" i="15"/>
  <c r="C8" i="15"/>
  <c r="C2" i="15"/>
  <c r="C12" i="15"/>
  <c r="C3" i="15"/>
  <c r="C15" i="15"/>
  <c r="C11" i="15"/>
  <c r="C4" i="15"/>
  <c r="C6" i="15"/>
  <c r="D16" i="12"/>
  <c r="D28" i="13"/>
  <c r="D32" i="13"/>
  <c r="D38" i="13"/>
  <c r="D46" i="13"/>
  <c r="E46" i="13"/>
  <c r="F28" i="13"/>
  <c r="E19" i="15"/>
  <c r="E12" i="15"/>
  <c r="E8" i="15"/>
  <c r="E4" i="15"/>
  <c r="E2" i="15"/>
  <c r="E17" i="15"/>
  <c r="E11" i="15"/>
  <c r="E13" i="15"/>
  <c r="E10" i="15"/>
  <c r="E3" i="15"/>
  <c r="E5" i="15"/>
  <c r="E6" i="15"/>
  <c r="E14" i="15"/>
  <c r="F19" i="15"/>
  <c r="E2" i="12"/>
  <c r="E14" i="12"/>
  <c r="F16" i="12"/>
  <c r="C16" i="12"/>
  <c r="C11" i="12"/>
  <c r="C7" i="12"/>
  <c r="C14" i="12"/>
  <c r="C10" i="12"/>
  <c r="C2" i="12"/>
  <c r="C9" i="12"/>
  <c r="C3" i="12"/>
  <c r="C4" i="12"/>
  <c r="C8" i="12"/>
  <c r="C5" i="12"/>
  <c r="E15" i="15"/>
  <c r="B38" i="13"/>
  <c r="F32" i="13"/>
  <c r="E16" i="12"/>
  <c r="E8" i="12"/>
  <c r="E7" i="12"/>
  <c r="E10" i="12"/>
  <c r="E4" i="12"/>
  <c r="E11" i="12"/>
  <c r="E9" i="12"/>
  <c r="E3" i="12"/>
  <c r="E12" i="12"/>
  <c r="E5" i="12"/>
  <c r="B46" i="13"/>
  <c r="F38" i="13"/>
  <c r="C46" i="13"/>
  <c r="F46" i="13"/>
</calcChain>
</file>

<file path=xl/sharedStrings.xml><?xml version="1.0" encoding="utf-8"?>
<sst xmlns="http://schemas.openxmlformats.org/spreadsheetml/2006/main" count="478" uniqueCount="258">
  <si>
    <t>Chiffre d'affaires</t>
  </si>
  <si>
    <t>TOTAL PRODUITS</t>
  </si>
  <si>
    <t>Achats de marchandises</t>
  </si>
  <si>
    <t>Carburant</t>
  </si>
  <si>
    <t>Loyers et crédit-baux</t>
  </si>
  <si>
    <t>Consommables et fournitures</t>
  </si>
  <si>
    <t>Energie</t>
  </si>
  <si>
    <t>Assurances</t>
  </si>
  <si>
    <t>Interim</t>
  </si>
  <si>
    <t>Honoraires</t>
  </si>
  <si>
    <t>Publicité, congrès, cadeaux,sponsoring</t>
  </si>
  <si>
    <t>Frais de déplacement &amp; réception</t>
  </si>
  <si>
    <t>Téléphonie, Internet &amp; frais postaux</t>
  </si>
  <si>
    <t>Frais généraux</t>
  </si>
  <si>
    <t>Frais bancaires</t>
  </si>
  <si>
    <t>Impôts et taxes</t>
  </si>
  <si>
    <t xml:space="preserve">Salaires </t>
  </si>
  <si>
    <t>Charges sociales</t>
  </si>
  <si>
    <t>TOTAL CHARGES</t>
  </si>
  <si>
    <t>EBE</t>
  </si>
  <si>
    <t>en k€</t>
  </si>
  <si>
    <t>Autres charges et produits d'exploit.</t>
  </si>
  <si>
    <t>Résultat d'exploitation</t>
  </si>
  <si>
    <t>Charges financières</t>
  </si>
  <si>
    <t>Produits financiers</t>
  </si>
  <si>
    <t>Résultat financier</t>
  </si>
  <si>
    <t>Charges exceptionnelles</t>
  </si>
  <si>
    <t>Produits exceptionnels</t>
  </si>
  <si>
    <t>Résultat exceptionnel</t>
  </si>
  <si>
    <t>Résultat courant avant impôts</t>
  </si>
  <si>
    <t>Participation des salariés</t>
  </si>
  <si>
    <t>Impôt sur les bénéfices</t>
  </si>
  <si>
    <t>Résultat de l'exercice</t>
  </si>
  <si>
    <t>Frais sur achats</t>
  </si>
  <si>
    <t>Variation de stocks</t>
  </si>
  <si>
    <t>Actif immobilisé</t>
  </si>
  <si>
    <t>Immo.incorporelles</t>
  </si>
  <si>
    <t>Immo.corporelles</t>
  </si>
  <si>
    <t>Immo.financières</t>
  </si>
  <si>
    <t>Actif circulant</t>
  </si>
  <si>
    <t>Clients</t>
  </si>
  <si>
    <t>Stocks</t>
  </si>
  <si>
    <t>VMP</t>
  </si>
  <si>
    <t>Disponibilités</t>
  </si>
  <si>
    <t>Total actif</t>
  </si>
  <si>
    <t xml:space="preserve">Actif  </t>
  </si>
  <si>
    <t xml:space="preserve">Passif  </t>
  </si>
  <si>
    <t>Capitaux propres</t>
  </si>
  <si>
    <t>Total passif</t>
  </si>
  <si>
    <t>Capital social</t>
  </si>
  <si>
    <t>Réserves légales</t>
  </si>
  <si>
    <t>Autres réserves</t>
  </si>
  <si>
    <t>Provisions</t>
  </si>
  <si>
    <t>Passif circulant</t>
  </si>
  <si>
    <t>Fournisseurs</t>
  </si>
  <si>
    <t>Dettes fiscales &amp; sociales</t>
  </si>
  <si>
    <t>%A.</t>
  </si>
  <si>
    <t>Var.</t>
  </si>
  <si>
    <t>Charges constatées d'avance</t>
  </si>
  <si>
    <t>Autres créances</t>
  </si>
  <si>
    <t xml:space="preserve">Emprunts </t>
  </si>
  <si>
    <t>Autres emprunts</t>
  </si>
  <si>
    <t>Autres dettes</t>
  </si>
  <si>
    <t>Produits constatés d'avance</t>
  </si>
  <si>
    <t>%P.</t>
  </si>
  <si>
    <t>%CA</t>
  </si>
  <si>
    <t>Location prestations</t>
  </si>
  <si>
    <t xml:space="preserve">Sous-traitance </t>
  </si>
  <si>
    <t>Dot. / Rep. amortissement exploit.</t>
  </si>
  <si>
    <t>Nombre d'adhérents</t>
  </si>
  <si>
    <t>Année</t>
  </si>
  <si>
    <t>Nb.de régions couvertes *</t>
  </si>
  <si>
    <t>(Nb.de pharmacies adhérentes par rapport au nb.total de pharmacies dans la région)</t>
  </si>
  <si>
    <t xml:space="preserve">* Parmi les 5 premiers groupements </t>
  </si>
  <si>
    <t>- Autres personnes physiques (pharmaciens adhérents)</t>
  </si>
  <si>
    <t>Groupement</t>
  </si>
  <si>
    <t>Enseignes</t>
  </si>
  <si>
    <t>- Dirigeants fondateurs (L.B, M.B, W.H &amp; M.R)</t>
  </si>
  <si>
    <t>- SO</t>
  </si>
  <si>
    <r>
      <t>- P Holding (détenue par les adhérents et affiliés</t>
    </r>
    <r>
      <rPr>
        <sz val="11"/>
        <color rgb="FF000000"/>
        <rFont val="Calibri"/>
        <family val="2"/>
      </rPr>
      <t>)</t>
    </r>
  </si>
  <si>
    <t>% CA</t>
  </si>
  <si>
    <t>Var. (€)</t>
  </si>
  <si>
    <t>Var.(%)</t>
  </si>
  <si>
    <t>dont adhésions &amp; cotisations</t>
  </si>
  <si>
    <t>dont laboratoires hors location</t>
  </si>
  <si>
    <t>Produits à recevoir</t>
  </si>
  <si>
    <t>A facturer</t>
  </si>
  <si>
    <t>Supplément</t>
  </si>
  <si>
    <t>CA détail</t>
  </si>
  <si>
    <t>CA 2010</t>
  </si>
  <si>
    <t>CA Cotisat°</t>
  </si>
  <si>
    <t>Variations de stocks</t>
  </si>
  <si>
    <t>Labo Générique</t>
  </si>
  <si>
    <t xml:space="preserve">Location prestations </t>
  </si>
  <si>
    <t>Autres labos</t>
  </si>
  <si>
    <t>Sous-traitance</t>
  </si>
  <si>
    <t>Autres Laboratoires</t>
  </si>
  <si>
    <t>RFA à reverser</t>
  </si>
  <si>
    <t>Charges Exo 2010</t>
  </si>
  <si>
    <t>Charges Exo 2011</t>
  </si>
  <si>
    <t>Charges comptabilisées</t>
  </si>
  <si>
    <t>Rattrapage charges 2010</t>
  </si>
  <si>
    <t>Charges à décaler sur 2011</t>
  </si>
  <si>
    <t>dont Sponsoring (k€)</t>
  </si>
  <si>
    <t>dont Frais de réception (k€)</t>
  </si>
  <si>
    <t>dont frais postaux (k€)</t>
  </si>
  <si>
    <t>Personnel</t>
  </si>
  <si>
    <t>Charges exo 2011</t>
  </si>
  <si>
    <t>Economies PSE/ 6 mois</t>
  </si>
  <si>
    <t>Coût PSE</t>
  </si>
  <si>
    <t>n.a</t>
  </si>
  <si>
    <t>Salaires</t>
  </si>
  <si>
    <t>REX</t>
  </si>
  <si>
    <t>Source: Etats financiers et management</t>
  </si>
  <si>
    <t>RCAI</t>
  </si>
  <si>
    <t>Résultat Exceptionnel</t>
  </si>
  <si>
    <t>IS/Crédit d'impôt</t>
  </si>
  <si>
    <t>RESULTAT NET</t>
  </si>
  <si>
    <t>RFA non comptabilisé</t>
  </si>
  <si>
    <t>Crédit d'impôt</t>
  </si>
  <si>
    <t>Reprise de provision sur reversements antérieurs</t>
  </si>
  <si>
    <t>Avoir à recevoir sur achats sous traitance</t>
  </si>
  <si>
    <t>Economie PSE</t>
  </si>
  <si>
    <t>EBE RETRAITE</t>
  </si>
  <si>
    <t>TOTAL</t>
  </si>
  <si>
    <t xml:space="preserve">JANVIER 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</si>
  <si>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</si>
  <si>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</si>
  <si>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</si>
  <si>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</si>
  <si>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</si>
  <si>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</si>
  <si>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</si>
  <si>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</si>
  <si>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</si>
  <si>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</si>
  <si>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</si>
  <si>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dont laboratoires</t>
  </si>
  <si>
    <t>Location prestations (RFA à reverser)</t>
  </si>
  <si>
    <t>Dotations / Reprises amortissement exploit.</t>
  </si>
  <si>
    <t>Janv.</t>
  </si>
  <si>
    <t>Fév.</t>
  </si>
  <si>
    <t>Mars</t>
  </si>
  <si>
    <t>Avr.</t>
  </si>
  <si>
    <t>Mai</t>
  </si>
  <si>
    <t>Juin</t>
  </si>
  <si>
    <t>Juil.</t>
  </si>
  <si>
    <t>Août</t>
  </si>
  <si>
    <t>Sept.</t>
  </si>
  <si>
    <t>Oct.</t>
  </si>
  <si>
    <t>Nov.</t>
  </si>
  <si>
    <t>Dec.</t>
  </si>
  <si>
    <t>Total</t>
  </si>
  <si>
    <t>Pub., congrès, cadeaux,sponsoring</t>
  </si>
  <si>
    <t>Tél., Internet &amp; frais postaux</t>
  </si>
  <si>
    <t>Dot. / Rep. amort. exploit.</t>
  </si>
  <si>
    <t>M</t>
  </si>
  <si>
    <t>M+1</t>
  </si>
  <si>
    <t>M+2</t>
  </si>
  <si>
    <t>M+3</t>
  </si>
  <si>
    <t>M+4</t>
  </si>
  <si>
    <t>M+5</t>
  </si>
  <si>
    <t>M+6</t>
  </si>
  <si>
    <t>M+7</t>
  </si>
  <si>
    <t>M+8</t>
  </si>
  <si>
    <t>M+9</t>
  </si>
  <si>
    <t>M+10</t>
  </si>
  <si>
    <t>M+11</t>
  </si>
  <si>
    <t xml:space="preserve"> - Laboratoires (échéances à 60j)</t>
  </si>
  <si>
    <t xml:space="preserve"> - Adhésions &amp; cotisations (échéances à 30j)</t>
  </si>
  <si>
    <t>Créances 2010</t>
  </si>
  <si>
    <t>Total encaissements TTC</t>
  </si>
  <si>
    <t>Dettes fournisseurs 2010</t>
  </si>
  <si>
    <t>Décaissements sur achats</t>
  </si>
  <si>
    <t>Emprunts</t>
  </si>
  <si>
    <t>Pharmaref/DCI/GIE/BSD-CIN 20240816</t>
  </si>
  <si>
    <t>BSD-CIN 20240817</t>
  </si>
  <si>
    <t>Prêt LCL 06002931</t>
  </si>
  <si>
    <t>Prêt LCL 010944715</t>
  </si>
  <si>
    <t>TVA</t>
  </si>
  <si>
    <t>Autres décaissements</t>
  </si>
  <si>
    <t>Total décaissements TTC</t>
  </si>
  <si>
    <t>Excédent ou besoin de trésorerie d'exploitation</t>
  </si>
  <si>
    <t>Solde final avant remboursement CCSF</t>
  </si>
  <si>
    <t>Solde CVAE</t>
  </si>
  <si>
    <t>C3S</t>
  </si>
  <si>
    <t>URSSAF</t>
  </si>
  <si>
    <t>Total échéances CCSF</t>
  </si>
  <si>
    <t>Autres charges sociales (hors CCSF)</t>
  </si>
  <si>
    <t>Solde final après remboursement CCSF</t>
  </si>
  <si>
    <t>CA Atterrissage 2010 = 22 556  -  Base calcul C3S =</t>
  </si>
  <si>
    <t>k€</t>
  </si>
  <si>
    <t>Livre de paye 01/2011</t>
  </si>
  <si>
    <t>Part salariale</t>
  </si>
  <si>
    <t>Part patronale</t>
  </si>
  <si>
    <t xml:space="preserve"> - URSSAF + POLE EMPLOI</t>
  </si>
  <si>
    <t xml:space="preserve"> - RETRAITE</t>
  </si>
  <si>
    <t xml:space="preserve"> - PREVOYANCE</t>
  </si>
  <si>
    <t xml:space="preserve"> - MUTUELLE</t>
  </si>
  <si>
    <t xml:space="preserve"> - ART.83</t>
  </si>
  <si>
    <t>Charges sociales pour CCSF</t>
  </si>
  <si>
    <t>- part patronale retraite / mutuelle / prév. 4T2010</t>
  </si>
  <si>
    <t>- part patronale Art.83  4T2010</t>
  </si>
  <si>
    <t>- part patronale charges sociales janv.à avril 2011</t>
  </si>
  <si>
    <t>Montant échu (part patronale)</t>
  </si>
  <si>
    <t>Montant à échoir              (avril et mai)</t>
  </si>
  <si>
    <t>Mensuel (36 mois)</t>
  </si>
  <si>
    <t xml:space="preserve">C3S </t>
  </si>
  <si>
    <t>Total CCSF</t>
  </si>
  <si>
    <t>Source : Management</t>
  </si>
  <si>
    <t>Remboursements trimestriels :</t>
  </si>
  <si>
    <t>Intérêts sur C/C = 3,5%  - Total 2011 :</t>
  </si>
  <si>
    <t>1T2011</t>
  </si>
  <si>
    <t>2T2011</t>
  </si>
  <si>
    <t>3T2011</t>
  </si>
  <si>
    <t>4T2011</t>
  </si>
  <si>
    <t>Chiffre d'affaires 2011</t>
  </si>
  <si>
    <t>Emprunts + dailly</t>
  </si>
  <si>
    <t xml:space="preserve">Charges sociales </t>
  </si>
  <si>
    <t>Excédent/besoin de tréso.d'exploit.</t>
  </si>
  <si>
    <t>Solde final avant rbst CCSF</t>
  </si>
  <si>
    <t>Solde final après rbst CCSF</t>
  </si>
  <si>
    <t>Estimé</t>
  </si>
  <si>
    <t>Réalisé</t>
  </si>
  <si>
    <t>Prév.</t>
  </si>
  <si>
    <t>Atterrissage</t>
  </si>
  <si>
    <t>Extourne Provision CA 2009/ Mylan</t>
  </si>
  <si>
    <t>Autres achats et charges externes</t>
  </si>
  <si>
    <t>Salaires + Charges sociales</t>
  </si>
  <si>
    <t>EBITDA</t>
  </si>
  <si>
    <t>Dotations / Reprises amort. exploit.</t>
  </si>
  <si>
    <t>EBIT</t>
  </si>
  <si>
    <t>S</t>
  </si>
  <si>
    <t>Remboursements S</t>
  </si>
  <si>
    <t>Source : WWW (affichage dans locaux de XXX)</t>
  </si>
  <si>
    <t>QQQQ</t>
  </si>
  <si>
    <t>SSSS</t>
  </si>
  <si>
    <t>FFFF</t>
  </si>
  <si>
    <t>GGGGGG</t>
  </si>
  <si>
    <t>JJJJJ</t>
  </si>
  <si>
    <t>URSSAF 76</t>
  </si>
  <si>
    <t>URSSAF 92</t>
  </si>
  <si>
    <t xml:space="preserve"> RETRAITE &amp; PREV.</t>
  </si>
  <si>
    <t xml:space="preserve"> MUTUELLE</t>
  </si>
  <si>
    <t xml:space="preserve"> ARTICLE 83</t>
  </si>
  <si>
    <t>Source: Projet JJJJ, analyse XXX et Management</t>
  </si>
  <si>
    <t>P Lab</t>
  </si>
  <si>
    <t>P Lab revsmt presta.</t>
  </si>
  <si>
    <t>Prêt Banque 1 06002</t>
  </si>
  <si>
    <t>Prêt Banque 1 01094</t>
  </si>
  <si>
    <t>Provision Procédure</t>
  </si>
  <si>
    <t>Economies sup. charges externes</t>
  </si>
  <si>
    <t xml:space="preserve">Solde initial </t>
  </si>
  <si>
    <t>Pharma</t>
  </si>
  <si>
    <t>BC 20240817</t>
  </si>
  <si>
    <t>Remboursements So</t>
  </si>
  <si>
    <t>Intérêts sur C/C So</t>
  </si>
  <si>
    <t>C/C So : 963,7k€ au 31/12/2010+328k€ reçu en 01/2011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</si>
</sst>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#,##0&quot;  &quot;;[Red]&quot;-&quot;#,##0&quot;  &quot;"/>
    <numFmt numFmtId="165" formatCode="0.0%"/>
    <numFmt numFmtId="166" formatCode="#,##0.0&quot;  &quot;;[Red]&quot;-&quot;#,##0.0&quot;  &quot;"/>
    <numFmt numFmtId="167" formatCode="#,##0,_);[Red]\(#,##0,\)"/>
    <numFmt numFmtId="168" formatCode="&quot; &quot;#,##0.00&quot; &quot;[$€]&quot; &quot;;&quot;-&quot;#,##0.00&quot; &quot;[$€]&quot; &quot;;&quot; -&quot;00&quot; &quot;[$€]&quot; &quot;;&quot; &quot;@&quot; &quot;"/>
    <numFmt numFmtId="169" formatCode="0.0&quot; x&quot;"/>
  </numFmts>
  <fonts count="1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i/>
      <sz val="8"/>
      <color rgb="FF000000"/>
      <name val="Calibri"/>
      <family val="2"/>
    </font>
    <font>
      <i/>
      <sz val="8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000000"/>
      <name val="Arial Unicode MS"/>
      <family val="2"/>
    </font>
    <font>
      <b/>
      <i/>
      <sz val="11"/>
      <color rgb="FF000000"/>
      <name val="Calibri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rgb="FF000000"/>
      <name val="Univers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FFF"/>
        <bgColor rgb="FFFFFFFF"/>
      </patternFill>
    </fill>
    <fill>
      <patternFill patternType="solid">
        <fgColor rgb="FFDCE6F1"/>
        <bgColor rgb="FFDCE6F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5B3D7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DCE6F1"/>
      </patternFill>
    </fill>
    <fill>
      <patternFill patternType="solid">
        <fgColor theme="0"/>
        <bgColor rgb="FFFFFF00"/>
      </patternFill>
    </fill>
  </fills>
  <borders count="36">
    <border>
      <left/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 style="thin">
        <color theme="4" tint="0.39991454817346722"/>
      </right>
      <top/>
      <bottom/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88402966399123"/>
      </top>
      <bottom/>
      <diagonal/>
    </border>
    <border>
      <left style="thin">
        <color theme="4" tint="0.39988402966399123"/>
      </left>
      <right style="thin">
        <color theme="4" tint="0.39988402966399123"/>
      </right>
      <top/>
      <bottom/>
      <diagonal/>
    </border>
    <border>
      <left style="thin">
        <color theme="4" tint="0.39988402966399123"/>
      </left>
      <right style="thin">
        <color theme="4" tint="0.39988402966399123"/>
      </right>
      <top/>
      <bottom style="thin">
        <color theme="4" tint="0.399884029663991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5B3D7"/>
      </left>
      <right style="thin">
        <color rgb="FF95B3D7"/>
      </right>
      <top style="thin">
        <color rgb="FF95B3D7"/>
      </top>
      <bottom/>
      <diagonal/>
    </border>
    <border>
      <left style="thin">
        <color rgb="FF95B3D7"/>
      </left>
      <right/>
      <top style="thin">
        <color rgb="FF95B3D7"/>
      </top>
      <bottom/>
      <diagonal/>
    </border>
    <border>
      <left/>
      <right style="thin">
        <color rgb="FF95B3D7"/>
      </right>
      <top style="thin">
        <color rgb="FF95B3D7"/>
      </top>
      <bottom/>
      <diagonal/>
    </border>
    <border>
      <left/>
      <right style="thin">
        <color rgb="FF95B3D7"/>
      </right>
      <top/>
      <bottom/>
      <diagonal/>
    </border>
    <border>
      <left/>
      <right/>
      <top style="thin">
        <color rgb="FF95B3D7"/>
      </top>
      <bottom/>
      <diagonal/>
    </border>
    <border>
      <left style="thin">
        <color rgb="FF95B3D7"/>
      </left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theme="4" tint="0.39994506668294322"/>
      </left>
      <right/>
      <top/>
      <bottom/>
      <diagonal/>
    </border>
    <border>
      <left style="thin">
        <color rgb="FF95B3D7"/>
      </left>
      <right/>
      <top/>
      <bottom style="thin">
        <color rgb="FF95B3D7"/>
      </bottom>
      <diagonal/>
    </border>
    <border>
      <left/>
      <right/>
      <top/>
      <bottom style="thin">
        <color rgb="FF95B3D7"/>
      </bottom>
      <diagonal/>
    </border>
    <border>
      <left/>
      <right style="thin">
        <color rgb="FF95B3D7"/>
      </right>
      <top/>
      <bottom style="thin">
        <color rgb="FF95B3D7"/>
      </bottom>
      <diagonal/>
    </border>
    <border>
      <left style="thin">
        <color rgb="FF95B3D7"/>
      </left>
      <right style="thin">
        <color rgb="FF95B3D7"/>
      </right>
      <top/>
      <bottom/>
      <diagonal/>
    </border>
    <border>
      <left style="thin">
        <color rgb="FF95B3D7"/>
      </left>
      <right style="thin">
        <color rgb="FF95B3D7"/>
      </right>
      <top/>
      <bottom style="thin">
        <color rgb="FF95B3D7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 tint="0.39988402966399123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/>
      <right/>
      <top/>
      <bottom style="thin">
        <color rgb="FF00FFFF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88402966399123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88402966399123"/>
      </bottom>
      <diagonal/>
    </border>
  </borders>
  <cellStyleXfs count="12">
    <xf numFmtId="0" fontId="0" fillId="0" borderId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4" fillId="0" borderId="0" applyBorder="0" applyProtection="0">
      <alignment horizontal="center"/>
    </xf>
    <xf numFmtId="0" fontId="15" fillId="0" borderId="0" applyNumberFormat="0" applyBorder="0" applyProtection="0"/>
    <xf numFmtId="9" fontId="1" fillId="0" borderId="0" applyFont="0" applyFill="0" applyBorder="0" applyAlignment="0" applyProtection="0"/>
    <xf numFmtId="0" fontId="1" fillId="0" borderId="33" applyNumberFormat="0" applyFon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13">
    <xf numFmtId="0" fontId="0" fillId="0" borderId="0" xfId="0"/>
    <xf numFmtId="0" fontId="3" fillId="0" borderId="0" xfId="0" applyFont="1" applyAlignment="1">
      <alignment horizontal="center"/>
    </xf>
    <xf numFmtId="0" fontId="0" fillId="5" borderId="0" xfId="0" applyFill="1"/>
    <xf numFmtId="0" fontId="3" fillId="5" borderId="0" xfId="0" applyFont="1" applyFill="1" applyAlignment="1">
      <alignment horizontal="center"/>
    </xf>
    <xf numFmtId="0" fontId="6" fillId="5" borderId="0" xfId="0" applyFont="1" applyFill="1"/>
    <xf numFmtId="0" fontId="6" fillId="0" borderId="0" xfId="0" applyFont="1"/>
    <xf numFmtId="0" fontId="6" fillId="5" borderId="0" xfId="0" applyFont="1" applyFill="1" applyBorder="1"/>
    <xf numFmtId="0" fontId="6" fillId="0" borderId="0" xfId="0" applyFont="1" applyBorder="1"/>
    <xf numFmtId="9" fontId="0" fillId="7" borderId="0" xfId="0" applyNumberFormat="1" applyFill="1" applyBorder="1"/>
    <xf numFmtId="9" fontId="2" fillId="3" borderId="0" xfId="0" applyNumberFormat="1" applyFont="1" applyFill="1" applyBorder="1" applyAlignment="1">
      <alignment horizontal="center" vertical="center"/>
    </xf>
    <xf numFmtId="0" fontId="0" fillId="5" borderId="0" xfId="0" applyFill="1" applyBorder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5" borderId="2" xfId="0" applyFont="1" applyFill="1" applyBorder="1"/>
    <xf numFmtId="164" fontId="6" fillId="7" borderId="2" xfId="0" applyNumberFormat="1" applyFont="1" applyFill="1" applyBorder="1" applyAlignment="1">
      <alignment horizontal="center"/>
    </xf>
    <xf numFmtId="164" fontId="6" fillId="7" borderId="2" xfId="0" applyNumberFormat="1" applyFont="1" applyFill="1" applyBorder="1" applyAlignment="1">
      <alignment horizontal="left"/>
    </xf>
    <xf numFmtId="164" fontId="5" fillId="4" borderId="2" xfId="0" applyNumberFormat="1" applyFont="1" applyFill="1" applyBorder="1" applyAlignment="1">
      <alignment horizontal="left" vertical="center"/>
    </xf>
    <xf numFmtId="164" fontId="5" fillId="4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horizontal="center" vertical="center"/>
    </xf>
    <xf numFmtId="43" fontId="6" fillId="7" borderId="2" xfId="3" applyFont="1" applyFill="1" applyBorder="1" applyAlignment="1">
      <alignment horizontal="center"/>
    </xf>
    <xf numFmtId="43" fontId="5" fillId="4" borderId="2" xfId="3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9" fontId="8" fillId="7" borderId="2" xfId="0" applyNumberFormat="1" applyFont="1" applyFill="1" applyBorder="1" applyAlignment="1">
      <alignment horizontal="center"/>
    </xf>
    <xf numFmtId="165" fontId="8" fillId="7" borderId="2" xfId="0" applyNumberFormat="1" applyFont="1" applyFill="1" applyBorder="1" applyAlignment="1">
      <alignment horizontal="center"/>
    </xf>
    <xf numFmtId="9" fontId="7" fillId="4" borderId="2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/>
    </xf>
    <xf numFmtId="9" fontId="7" fillId="6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/>
    <xf numFmtId="9" fontId="7" fillId="2" borderId="3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5" borderId="0" xfId="0" applyFont="1" applyFill="1"/>
    <xf numFmtId="43" fontId="8" fillId="7" borderId="2" xfId="3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0" fontId="8" fillId="7" borderId="2" xfId="0" applyNumberFormat="1" applyFont="1" applyFill="1" applyBorder="1" applyAlignment="1">
      <alignment horizontal="center"/>
    </xf>
    <xf numFmtId="164" fontId="0" fillId="0" borderId="0" xfId="0" applyNumberFormat="1"/>
    <xf numFmtId="0" fontId="4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164" fontId="6" fillId="3" borderId="5" xfId="0" applyNumberFormat="1" applyFont="1" applyFill="1" applyBorder="1" applyAlignment="1">
      <alignment horizontal="center"/>
    </xf>
    <xf numFmtId="9" fontId="6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left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/>
    </xf>
    <xf numFmtId="164" fontId="5" fillId="4" borderId="5" xfId="0" applyNumberFormat="1" applyFont="1" applyFill="1" applyBorder="1" applyAlignment="1">
      <alignment horizontal="center" vertical="center"/>
    </xf>
    <xf numFmtId="9" fontId="5" fillId="4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/>
    <xf numFmtId="164" fontId="6" fillId="3" borderId="5" xfId="1" applyNumberFormat="1" applyFont="1" applyFill="1" applyBorder="1" applyAlignment="1">
      <alignment horizontal="center"/>
    </xf>
    <xf numFmtId="9" fontId="6" fillId="3" borderId="5" xfId="1" applyNumberFormat="1" applyFont="1" applyFill="1" applyBorder="1" applyAlignment="1">
      <alignment horizontal="center"/>
    </xf>
    <xf numFmtId="9" fontId="2" fillId="3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center" vertical="center"/>
    </xf>
    <xf numFmtId="9" fontId="5" fillId="2" borderId="6" xfId="0" applyNumberFormat="1" applyFont="1" applyFill="1" applyBorder="1" applyAlignment="1">
      <alignment horizontal="center" vertical="center"/>
    </xf>
    <xf numFmtId="0" fontId="0" fillId="0" borderId="0" xfId="0" quotePrefix="1"/>
    <xf numFmtId="0" fontId="0" fillId="0" borderId="0" xfId="0" quotePrefix="1" applyAlignment="1">
      <alignment vertical="center" wrapText="1"/>
    </xf>
    <xf numFmtId="9" fontId="0" fillId="0" borderId="0" xfId="0" applyNumberFormat="1" applyAlignment="1">
      <alignment vertical="center"/>
    </xf>
    <xf numFmtId="0" fontId="0" fillId="0" borderId="0" xfId="0" quotePrefix="1" applyAlignment="1">
      <alignment vertical="center"/>
    </xf>
    <xf numFmtId="0" fontId="0" fillId="0" borderId="7" xfId="0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0" xfId="0" applyFont="1"/>
    <xf numFmtId="0" fontId="0" fillId="0" borderId="0" xfId="0" applyAlignment="1">
      <alignment horizontal="left"/>
    </xf>
    <xf numFmtId="0" fontId="10" fillId="3" borderId="2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left" vertical="center"/>
    </xf>
    <xf numFmtId="164" fontId="0" fillId="3" borderId="13" xfId="0" applyNumberFormat="1" applyFill="1" applyBorder="1" applyAlignment="1">
      <alignment horizontal="center"/>
    </xf>
    <xf numFmtId="9" fontId="3" fillId="3" borderId="0" xfId="4" applyFont="1" applyFill="1" applyAlignment="1">
      <alignment horizontal="center"/>
    </xf>
    <xf numFmtId="9" fontId="3" fillId="3" borderId="11" xfId="4" applyFont="1" applyFill="1" applyBorder="1" applyAlignment="1">
      <alignment horizontal="center"/>
    </xf>
    <xf numFmtId="3" fontId="3" fillId="3" borderId="0" xfId="4" applyNumberFormat="1" applyFont="1" applyFill="1" applyAlignment="1">
      <alignment horizontal="center"/>
    </xf>
    <xf numFmtId="0" fontId="3" fillId="3" borderId="13" xfId="0" applyFont="1" applyFill="1" applyBorder="1" applyAlignment="1">
      <alignment horizontal="right" vertical="center"/>
    </xf>
    <xf numFmtId="164" fontId="8" fillId="3" borderId="13" xfId="0" applyNumberFormat="1" applyFont="1" applyFill="1" applyBorder="1" applyAlignment="1">
      <alignment horizontal="center" vertical="center"/>
    </xf>
    <xf numFmtId="9" fontId="8" fillId="3" borderId="11" xfId="4" applyFont="1" applyFill="1" applyBorder="1" applyAlignment="1">
      <alignment horizontal="center"/>
    </xf>
    <xf numFmtId="9" fontId="8" fillId="3" borderId="0" xfId="4" applyFont="1" applyFill="1" applyAlignment="1">
      <alignment horizontal="center"/>
    </xf>
    <xf numFmtId="3" fontId="8" fillId="3" borderId="0" xfId="4" applyNumberFormat="1" applyFont="1" applyFill="1" applyAlignment="1">
      <alignment horizontal="center"/>
    </xf>
    <xf numFmtId="164" fontId="2" fillId="3" borderId="13" xfId="0" applyNumberFormat="1" applyFont="1" applyFill="1" applyBorder="1" applyAlignment="1">
      <alignment horizontal="center" vertical="center"/>
    </xf>
    <xf numFmtId="9" fontId="4" fillId="3" borderId="0" xfId="4" applyFont="1" applyFill="1" applyAlignment="1">
      <alignment horizontal="center" vertical="center"/>
    </xf>
    <xf numFmtId="9" fontId="3" fillId="3" borderId="11" xfId="4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2" fillId="3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2" fillId="4" borderId="13" xfId="0" applyFont="1" applyFill="1" applyBorder="1" applyAlignment="1">
      <alignment horizontal="left" vertical="center"/>
    </xf>
    <xf numFmtId="164" fontId="2" fillId="4" borderId="13" xfId="0" applyNumberFormat="1" applyFont="1" applyFill="1" applyBorder="1" applyAlignment="1">
      <alignment horizontal="center" vertical="center"/>
    </xf>
    <xf numFmtId="9" fontId="4" fillId="4" borderId="0" xfId="4" applyFont="1" applyFill="1" applyAlignment="1">
      <alignment horizontal="center" vertical="center"/>
    </xf>
    <xf numFmtId="9" fontId="4" fillId="4" borderId="11" xfId="4" applyFont="1" applyFill="1" applyBorder="1" applyAlignment="1">
      <alignment horizontal="center" vertical="center"/>
    </xf>
    <xf numFmtId="3" fontId="4" fillId="4" borderId="0" xfId="4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2" fillId="3" borderId="13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3" borderId="13" xfId="0" applyFill="1" applyBorder="1"/>
    <xf numFmtId="9" fontId="3" fillId="3" borderId="0" xfId="0" applyNumberFormat="1" applyFont="1" applyFill="1" applyAlignment="1">
      <alignment horizontal="center"/>
    </xf>
    <xf numFmtId="9" fontId="3" fillId="3" borderId="11" xfId="0" applyNumberFormat="1" applyFont="1" applyFill="1" applyBorder="1" applyAlignment="1">
      <alignment horizontal="center"/>
    </xf>
    <xf numFmtId="166" fontId="0" fillId="3" borderId="13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3" fontId="6" fillId="3" borderId="13" xfId="3" applyFont="1" applyFill="1" applyBorder="1" applyAlignment="1">
      <alignment horizontal="center"/>
    </xf>
    <xf numFmtId="164" fontId="0" fillId="3" borderId="13" xfId="1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4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43" fontId="6" fillId="3" borderId="0" xfId="3" applyFont="1" applyFill="1" applyBorder="1" applyAlignment="1">
      <alignment horizontal="center"/>
    </xf>
    <xf numFmtId="9" fontId="3" fillId="3" borderId="0" xfId="4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164" fontId="0" fillId="3" borderId="13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2" borderId="13" xfId="0" applyFont="1" applyFill="1" applyBorder="1" applyAlignment="1">
      <alignment horizontal="left" vertical="center"/>
    </xf>
    <xf numFmtId="164" fontId="2" fillId="2" borderId="13" xfId="0" applyNumberFormat="1" applyFont="1" applyFill="1" applyBorder="1" applyAlignment="1">
      <alignment horizontal="center" vertical="center"/>
    </xf>
    <xf numFmtId="9" fontId="4" fillId="2" borderId="0" xfId="4" applyFont="1" applyFill="1" applyAlignment="1">
      <alignment horizontal="center" vertical="center"/>
    </xf>
    <xf numFmtId="9" fontId="4" fillId="2" borderId="11" xfId="4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0" fillId="3" borderId="15" xfId="0" applyFill="1" applyBorder="1" applyAlignment="1">
      <alignment horizontal="center"/>
    </xf>
    <xf numFmtId="43" fontId="6" fillId="3" borderId="15" xfId="3" applyFont="1" applyFill="1" applyBorder="1" applyAlignment="1">
      <alignment horizontal="center"/>
    </xf>
    <xf numFmtId="1" fontId="0" fillId="0" borderId="0" xfId="0" applyNumberFormat="1"/>
    <xf numFmtId="0" fontId="8" fillId="5" borderId="0" xfId="0" applyFont="1" applyFill="1" applyBorder="1"/>
    <xf numFmtId="0" fontId="0" fillId="3" borderId="0" xfId="0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0" borderId="13" xfId="0" applyBorder="1"/>
    <xf numFmtId="9" fontId="4" fillId="3" borderId="11" xfId="4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164" fontId="2" fillId="2" borderId="16" xfId="0" applyNumberFormat="1" applyFont="1" applyFill="1" applyBorder="1" applyAlignment="1">
      <alignment horizontal="center" vertical="center"/>
    </xf>
    <xf numFmtId="9" fontId="4" fillId="2" borderId="17" xfId="4" applyFont="1" applyFill="1" applyBorder="1" applyAlignment="1">
      <alignment horizontal="center" vertical="center"/>
    </xf>
    <xf numFmtId="9" fontId="4" fillId="2" borderId="18" xfId="4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164" fontId="2" fillId="4" borderId="0" xfId="0" applyNumberFormat="1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0" fillId="3" borderId="0" xfId="0" applyFill="1"/>
    <xf numFmtId="0" fontId="2" fillId="2" borderId="20" xfId="0" applyFont="1" applyFill="1" applyBorder="1" applyAlignment="1">
      <alignment horizontal="left" vertical="center"/>
    </xf>
    <xf numFmtId="164" fontId="2" fillId="2" borderId="17" xfId="0" applyNumberFormat="1" applyFont="1" applyFill="1" applyBorder="1" applyAlignment="1">
      <alignment horizontal="center" vertical="center"/>
    </xf>
    <xf numFmtId="9" fontId="4" fillId="3" borderId="19" xfId="4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left" vertical="center"/>
    </xf>
    <xf numFmtId="164" fontId="2" fillId="3" borderId="0" xfId="0" applyNumberFormat="1" applyFont="1" applyFill="1" applyBorder="1" applyAlignment="1">
      <alignment horizontal="center" vertical="center"/>
    </xf>
    <xf numFmtId="9" fontId="0" fillId="3" borderId="0" xfId="0" applyNumberFormat="1" applyFill="1" applyBorder="1"/>
    <xf numFmtId="0" fontId="6" fillId="3" borderId="13" xfId="0" applyFont="1" applyFill="1" applyBorder="1" applyAlignment="1">
      <alignment horizontal="left" vertical="center"/>
    </xf>
    <xf numFmtId="164" fontId="6" fillId="3" borderId="0" xfId="0" applyNumberFormat="1" applyFont="1" applyFill="1" applyBorder="1" applyAlignment="1">
      <alignment horizontal="center"/>
    </xf>
    <xf numFmtId="9" fontId="6" fillId="3" borderId="0" xfId="4" applyFont="1" applyFill="1"/>
    <xf numFmtId="0" fontId="3" fillId="3" borderId="13" xfId="0" applyFont="1" applyFill="1" applyBorder="1" applyAlignment="1">
      <alignment horizontal="left" vertical="center"/>
    </xf>
    <xf numFmtId="43" fontId="3" fillId="3" borderId="0" xfId="3" applyFont="1" applyFill="1" applyBorder="1" applyAlignment="1">
      <alignment horizontal="center"/>
    </xf>
    <xf numFmtId="0" fontId="6" fillId="3" borderId="0" xfId="0" applyFont="1" applyFill="1"/>
    <xf numFmtId="0" fontId="5" fillId="4" borderId="13" xfId="0" applyFont="1" applyFill="1" applyBorder="1" applyAlignment="1">
      <alignment horizontal="left" vertical="center"/>
    </xf>
    <xf numFmtId="164" fontId="5" fillId="4" borderId="0" xfId="0" applyNumberFormat="1" applyFont="1" applyFill="1" applyBorder="1" applyAlignment="1">
      <alignment horizontal="center" vertical="center"/>
    </xf>
    <xf numFmtId="0" fontId="6" fillId="3" borderId="13" xfId="0" applyFont="1" applyFill="1" applyBorder="1"/>
    <xf numFmtId="164" fontId="6" fillId="3" borderId="0" xfId="1" applyNumberFormat="1" applyFont="1" applyFill="1" applyBorder="1" applyAlignment="1">
      <alignment horizontal="center"/>
    </xf>
    <xf numFmtId="9" fontId="6" fillId="7" borderId="0" xfId="4" applyFont="1" applyFill="1"/>
    <xf numFmtId="165" fontId="6" fillId="3" borderId="0" xfId="0" applyNumberFormat="1" applyFont="1" applyFill="1"/>
    <xf numFmtId="0" fontId="5" fillId="2" borderId="13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6" fillId="7" borderId="0" xfId="0" applyFont="1" applyFill="1"/>
    <xf numFmtId="9" fontId="0" fillId="3" borderId="5" xfId="0" applyNumberFormat="1" applyFill="1" applyBorder="1"/>
    <xf numFmtId="0" fontId="3" fillId="3" borderId="5" xfId="0" applyFont="1" applyFill="1" applyBorder="1" applyAlignment="1">
      <alignment horizontal="left" vertical="center"/>
    </xf>
    <xf numFmtId="43" fontId="6" fillId="3" borderId="5" xfId="3" applyFont="1" applyFill="1" applyBorder="1" applyAlignment="1">
      <alignment horizontal="center"/>
    </xf>
    <xf numFmtId="9" fontId="0" fillId="7" borderId="5" xfId="0" applyNumberFormat="1" applyFill="1" applyBorder="1"/>
    <xf numFmtId="0" fontId="2" fillId="3" borderId="22" xfId="0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left" vertical="center"/>
    </xf>
    <xf numFmtId="167" fontId="12" fillId="8" borderId="0" xfId="0" applyNumberFormat="1" applyFont="1" applyFill="1" applyBorder="1" applyAlignment="1">
      <alignment horizontal="center"/>
    </xf>
    <xf numFmtId="9" fontId="13" fillId="8" borderId="0" xfId="4" applyFont="1" applyFill="1" applyBorder="1" applyAlignment="1">
      <alignment horizontal="center"/>
    </xf>
    <xf numFmtId="0" fontId="6" fillId="8" borderId="0" xfId="0" applyFont="1" applyFill="1"/>
    <xf numFmtId="0" fontId="5" fillId="3" borderId="21" xfId="0" applyFont="1" applyFill="1" applyBorder="1" applyAlignment="1">
      <alignment horizontal="left" vertical="center"/>
    </xf>
    <xf numFmtId="9" fontId="6" fillId="3" borderId="0" xfId="0" applyNumberFormat="1" applyFont="1" applyFill="1" applyBorder="1"/>
    <xf numFmtId="0" fontId="6" fillId="3" borderId="21" xfId="0" applyFont="1" applyFill="1" applyBorder="1" applyAlignment="1">
      <alignment horizontal="left" vertical="center"/>
    </xf>
    <xf numFmtId="9" fontId="6" fillId="7" borderId="0" xfId="4" applyFont="1" applyFill="1" applyBorder="1"/>
    <xf numFmtId="10" fontId="6" fillId="5" borderId="0" xfId="0" applyNumberFormat="1" applyFont="1" applyFill="1"/>
    <xf numFmtId="0" fontId="6" fillId="3" borderId="21" xfId="0" quotePrefix="1" applyFont="1" applyFill="1" applyBorder="1" applyAlignment="1">
      <alignment horizontal="left" vertical="center"/>
    </xf>
    <xf numFmtId="9" fontId="6" fillId="3" borderId="0" xfId="4" applyFont="1" applyFill="1" applyBorder="1"/>
    <xf numFmtId="0" fontId="5" fillId="0" borderId="0" xfId="0" applyFont="1"/>
    <xf numFmtId="0" fontId="6" fillId="3" borderId="21" xfId="0" applyFont="1" applyFill="1" applyBorder="1"/>
    <xf numFmtId="43" fontId="6" fillId="5" borderId="0" xfId="0" applyNumberFormat="1" applyFont="1" applyFill="1"/>
    <xf numFmtId="165" fontId="6" fillId="3" borderId="0" xfId="0" applyNumberFormat="1" applyFont="1" applyFill="1" applyBorder="1"/>
    <xf numFmtId="165" fontId="6" fillId="7" borderId="0" xfId="0" applyNumberFormat="1" applyFont="1" applyFill="1" applyBorder="1"/>
    <xf numFmtId="0" fontId="5" fillId="3" borderId="21" xfId="0" applyFont="1" applyFill="1" applyBorder="1"/>
    <xf numFmtId="165" fontId="5" fillId="3" borderId="0" xfId="0" applyNumberFormat="1" applyFont="1" applyFill="1" applyBorder="1"/>
    <xf numFmtId="0" fontId="5" fillId="5" borderId="0" xfId="0" applyFont="1" applyFill="1"/>
    <xf numFmtId="43" fontId="6" fillId="3" borderId="0" xfId="3" applyFont="1" applyFill="1" applyBorder="1"/>
    <xf numFmtId="164" fontId="6" fillId="7" borderId="0" xfId="1" applyNumberFormat="1" applyFont="1" applyFill="1" applyBorder="1" applyAlignment="1">
      <alignment horizontal="right"/>
    </xf>
    <xf numFmtId="0" fontId="6" fillId="3" borderId="0" xfId="0" applyFont="1" applyFill="1" applyBorder="1"/>
    <xf numFmtId="0" fontId="5" fillId="2" borderId="21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0" fontId="6" fillId="6" borderId="21" xfId="0" applyFont="1" applyFill="1" applyBorder="1" applyAlignment="1">
      <alignment horizontal="left" vertical="center"/>
    </xf>
    <xf numFmtId="0" fontId="6" fillId="7" borderId="0" xfId="0" applyFont="1" applyFill="1" applyBorder="1" applyAlignment="1">
      <alignment horizontal="right"/>
    </xf>
    <xf numFmtId="3" fontId="6" fillId="5" borderId="0" xfId="0" applyNumberFormat="1" applyFont="1" applyFill="1" applyBorder="1" applyAlignment="1"/>
    <xf numFmtId="0" fontId="5" fillId="2" borderId="25" xfId="0" applyFont="1" applyFill="1" applyBorder="1" applyAlignment="1">
      <alignment horizontal="left" vertical="center"/>
    </xf>
    <xf numFmtId="164" fontId="5" fillId="2" borderId="26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center"/>
    </xf>
    <xf numFmtId="0" fontId="6" fillId="0" borderId="0" xfId="0" quotePrefix="1" applyFont="1"/>
    <xf numFmtId="4" fontId="3" fillId="0" borderId="0" xfId="0" applyNumberFormat="1" applyFont="1" applyAlignment="1">
      <alignment horizontal="center"/>
    </xf>
    <xf numFmtId="165" fontId="6" fillId="0" borderId="0" xfId="0" applyNumberFormat="1" applyFont="1" applyFill="1" applyBorder="1"/>
    <xf numFmtId="4" fontId="6" fillId="0" borderId="0" xfId="0" applyNumberFormat="1" applyFont="1"/>
    <xf numFmtId="4" fontId="3" fillId="0" borderId="26" xfId="0" applyNumberFormat="1" applyFont="1" applyBorder="1" applyAlignment="1">
      <alignment horizontal="center"/>
    </xf>
    <xf numFmtId="165" fontId="6" fillId="0" borderId="26" xfId="0" applyNumberFormat="1" applyFont="1" applyFill="1" applyBorder="1"/>
    <xf numFmtId="165" fontId="6" fillId="0" borderId="0" xfId="0" applyNumberFormat="1" applyFont="1" applyFill="1" applyBorder="1" applyAlignment="1">
      <alignment horizontal="center"/>
    </xf>
    <xf numFmtId="0" fontId="2" fillId="9" borderId="27" xfId="0" applyFont="1" applyFill="1" applyBorder="1" applyAlignment="1">
      <alignment horizontal="left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0" fillId="5" borderId="28" xfId="0" applyFill="1" applyBorder="1"/>
    <xf numFmtId="3" fontId="0" fillId="5" borderId="28" xfId="0" applyNumberFormat="1" applyFill="1" applyBorder="1" applyAlignment="1">
      <alignment horizontal="center"/>
    </xf>
    <xf numFmtId="43" fontId="0" fillId="5" borderId="28" xfId="3" applyFont="1" applyFill="1" applyBorder="1" applyAlignment="1">
      <alignment horizontal="center" vertical="center"/>
    </xf>
    <xf numFmtId="0" fontId="0" fillId="5" borderId="28" xfId="0" applyFill="1" applyBorder="1" applyAlignment="1">
      <alignment vertical="center"/>
    </xf>
    <xf numFmtId="0" fontId="2" fillId="9" borderId="29" xfId="0" applyFont="1" applyFill="1" applyBorder="1"/>
    <xf numFmtId="3" fontId="2" fillId="9" borderId="29" xfId="0" applyNumberFormat="1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4" fillId="2" borderId="30" xfId="0" applyFont="1" applyFill="1" applyBorder="1" applyAlignment="1">
      <alignment vertical="center"/>
    </xf>
    <xf numFmtId="0" fontId="5" fillId="2" borderId="3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left" vertical="center"/>
    </xf>
    <xf numFmtId="164" fontId="5" fillId="4" borderId="31" xfId="0" applyNumberFormat="1" applyFont="1" applyFill="1" applyBorder="1" applyAlignment="1">
      <alignment horizontal="center"/>
    </xf>
    <xf numFmtId="0" fontId="5" fillId="3" borderId="31" xfId="0" applyFont="1" applyFill="1" applyBorder="1" applyAlignment="1">
      <alignment horizontal="left" vertical="center"/>
    </xf>
    <xf numFmtId="9" fontId="6" fillId="3" borderId="31" xfId="0" applyNumberFormat="1" applyFont="1" applyFill="1" applyBorder="1"/>
    <xf numFmtId="0" fontId="6" fillId="3" borderId="31" xfId="0" applyFont="1" applyFill="1" applyBorder="1" applyAlignment="1">
      <alignment horizontal="left" vertical="center"/>
    </xf>
    <xf numFmtId="43" fontId="6" fillId="3" borderId="31" xfId="3" applyFont="1" applyFill="1" applyBorder="1" applyAlignment="1">
      <alignment horizontal="center"/>
    </xf>
    <xf numFmtId="164" fontId="6" fillId="3" borderId="31" xfId="0" applyNumberFormat="1" applyFont="1" applyFill="1" applyBorder="1" applyAlignment="1">
      <alignment horizontal="center"/>
    </xf>
    <xf numFmtId="164" fontId="6" fillId="7" borderId="31" xfId="0" applyNumberFormat="1" applyFont="1" applyFill="1" applyBorder="1" applyAlignment="1">
      <alignment horizontal="center"/>
    </xf>
    <xf numFmtId="0" fontId="7" fillId="3" borderId="31" xfId="0" applyFont="1" applyFill="1" applyBorder="1"/>
    <xf numFmtId="164" fontId="4" fillId="7" borderId="31" xfId="0" applyNumberFormat="1" applyFont="1" applyFill="1" applyBorder="1" applyAlignment="1">
      <alignment horizontal="center"/>
    </xf>
    <xf numFmtId="43" fontId="4" fillId="7" borderId="31" xfId="3" applyFont="1" applyFill="1" applyBorder="1" applyAlignment="1">
      <alignment horizontal="center"/>
    </xf>
    <xf numFmtId="0" fontId="4" fillId="5" borderId="0" xfId="0" applyFont="1" applyFill="1"/>
    <xf numFmtId="0" fontId="4" fillId="0" borderId="0" xfId="0" applyFont="1"/>
    <xf numFmtId="0" fontId="6" fillId="3" borderId="31" xfId="0" applyFont="1" applyFill="1" applyBorder="1"/>
    <xf numFmtId="164" fontId="6" fillId="7" borderId="0" xfId="0" applyNumberFormat="1" applyFont="1" applyFill="1" applyBorder="1" applyAlignment="1">
      <alignment horizontal="center"/>
    </xf>
    <xf numFmtId="43" fontId="4" fillId="3" borderId="31" xfId="3" applyFont="1" applyFill="1" applyBorder="1" applyAlignment="1">
      <alignment horizontal="center"/>
    </xf>
    <xf numFmtId="164" fontId="4" fillId="3" borderId="31" xfId="0" applyNumberFormat="1" applyFont="1" applyFill="1" applyBorder="1" applyAlignment="1">
      <alignment horizontal="center"/>
    </xf>
    <xf numFmtId="0" fontId="6" fillId="7" borderId="31" xfId="0" applyFont="1" applyFill="1" applyBorder="1"/>
    <xf numFmtId="43" fontId="6" fillId="7" borderId="31" xfId="3" applyFont="1" applyFill="1" applyBorder="1" applyAlignment="1">
      <alignment horizontal="center"/>
    </xf>
    <xf numFmtId="0" fontId="5" fillId="2" borderId="31" xfId="0" applyFont="1" applyFill="1" applyBorder="1" applyAlignment="1">
      <alignment horizontal="left" vertical="center"/>
    </xf>
    <xf numFmtId="164" fontId="5" fillId="2" borderId="31" xfId="0" applyNumberFormat="1" applyFont="1" applyFill="1" applyBorder="1" applyAlignment="1">
      <alignment horizontal="center"/>
    </xf>
    <xf numFmtId="0" fontId="6" fillId="6" borderId="31" xfId="0" applyFont="1" applyFill="1" applyBorder="1" applyAlignment="1">
      <alignment horizontal="left" vertical="center"/>
    </xf>
    <xf numFmtId="43" fontId="5" fillId="4" borderId="31" xfId="3" applyFont="1" applyFill="1" applyBorder="1" applyAlignment="1">
      <alignment horizontal="center"/>
    </xf>
    <xf numFmtId="0" fontId="5" fillId="2" borderId="32" xfId="0" applyFont="1" applyFill="1" applyBorder="1" applyAlignment="1">
      <alignment horizontal="left" vertical="center"/>
    </xf>
    <xf numFmtId="164" fontId="5" fillId="2" borderId="32" xfId="0" applyNumberFormat="1" applyFont="1" applyFill="1" applyBorder="1" applyAlignment="1">
      <alignment horizontal="center"/>
    </xf>
    <xf numFmtId="17" fontId="6" fillId="5" borderId="0" xfId="0" applyNumberFormat="1" applyFont="1" applyFill="1"/>
    <xf numFmtId="0" fontId="11" fillId="6" borderId="13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left" vertical="center"/>
    </xf>
    <xf numFmtId="3" fontId="3" fillId="3" borderId="0" xfId="4" applyNumberFormat="1" applyFont="1" applyFill="1" applyBorder="1" applyAlignment="1">
      <alignment horizontal="center"/>
    </xf>
    <xf numFmtId="3" fontId="3" fillId="3" borderId="13" xfId="4" applyNumberFormat="1" applyFont="1" applyFill="1" applyBorder="1" applyAlignment="1">
      <alignment horizontal="center"/>
    </xf>
    <xf numFmtId="9" fontId="3" fillId="3" borderId="0" xfId="4" applyFont="1" applyFill="1" applyBorder="1" applyAlignment="1">
      <alignment horizontal="center"/>
    </xf>
    <xf numFmtId="9" fontId="3" fillId="3" borderId="13" xfId="4" applyFont="1" applyFill="1" applyBorder="1" applyAlignment="1">
      <alignment horizontal="center"/>
    </xf>
    <xf numFmtId="0" fontId="2" fillId="10" borderId="13" xfId="0" applyFont="1" applyFill="1" applyBorder="1" applyAlignment="1">
      <alignment horizontal="left" vertical="center"/>
    </xf>
    <xf numFmtId="3" fontId="4" fillId="4" borderId="0" xfId="4" applyNumberFormat="1" applyFont="1" applyFill="1" applyBorder="1" applyAlignment="1">
      <alignment horizontal="center"/>
    </xf>
    <xf numFmtId="3" fontId="4" fillId="4" borderId="13" xfId="4" applyNumberFormat="1" applyFont="1" applyFill="1" applyBorder="1" applyAlignment="1">
      <alignment horizontal="center"/>
    </xf>
    <xf numFmtId="0" fontId="2" fillId="7" borderId="13" xfId="0" applyFont="1" applyFill="1" applyBorder="1" applyAlignment="1">
      <alignment horizontal="left" vertical="center"/>
    </xf>
    <xf numFmtId="0" fontId="0" fillId="7" borderId="13" xfId="0" applyFill="1" applyBorder="1"/>
    <xf numFmtId="0" fontId="8" fillId="3" borderId="13" xfId="0" applyFont="1" applyFill="1" applyBorder="1"/>
    <xf numFmtId="0" fontId="8" fillId="7" borderId="13" xfId="0" applyFont="1" applyFill="1" applyBorder="1"/>
    <xf numFmtId="164" fontId="8" fillId="3" borderId="13" xfId="0" applyNumberFormat="1" applyFont="1" applyFill="1" applyBorder="1" applyAlignment="1">
      <alignment horizontal="center"/>
    </xf>
    <xf numFmtId="9" fontId="8" fillId="3" borderId="11" xfId="0" applyNumberFormat="1" applyFont="1" applyFill="1" applyBorder="1" applyAlignment="1">
      <alignment horizontal="center"/>
    </xf>
    <xf numFmtId="9" fontId="8" fillId="3" borderId="0" xfId="0" applyNumberFormat="1" applyFont="1" applyFill="1" applyAlignment="1">
      <alignment horizontal="center"/>
    </xf>
    <xf numFmtId="3" fontId="8" fillId="3" borderId="0" xfId="4" applyNumberFormat="1" applyFont="1" applyFill="1" applyBorder="1" applyAlignment="1">
      <alignment horizontal="center"/>
    </xf>
    <xf numFmtId="3" fontId="8" fillId="3" borderId="13" xfId="4" applyNumberFormat="1" applyFont="1" applyFill="1" applyBorder="1" applyAlignment="1">
      <alignment horizontal="center"/>
    </xf>
    <xf numFmtId="9" fontId="8" fillId="3" borderId="0" xfId="4" applyFont="1" applyFill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164" fontId="4" fillId="2" borderId="16" xfId="0" applyNumberFormat="1" applyFont="1" applyFill="1" applyBorder="1" applyAlignment="1">
      <alignment horizontal="center" vertical="center"/>
    </xf>
    <xf numFmtId="0" fontId="0" fillId="7" borderId="0" xfId="0" applyFill="1"/>
    <xf numFmtId="0" fontId="4" fillId="2" borderId="35" xfId="0" applyFont="1" applyFill="1" applyBorder="1" applyAlignment="1">
      <alignment vertical="center"/>
    </xf>
    <xf numFmtId="164" fontId="4" fillId="2" borderId="34" xfId="0" applyNumberFormat="1" applyFont="1" applyFill="1" applyBorder="1" applyAlignment="1">
      <alignment horizontal="center" vertical="center"/>
    </xf>
    <xf numFmtId="9" fontId="7" fillId="2" borderId="34" xfId="0" applyNumberFormat="1" applyFont="1" applyFill="1" applyBorder="1" applyAlignment="1">
      <alignment horizontal="center" vertical="center"/>
    </xf>
    <xf numFmtId="0" fontId="3" fillId="11" borderId="0" xfId="0" applyFont="1" applyFill="1" applyAlignment="1">
      <alignment horizontal="center"/>
    </xf>
    <xf numFmtId="0" fontId="5" fillId="6" borderId="24" xfId="0" applyFont="1" applyFill="1" applyBorder="1" applyAlignment="1">
      <alignment vertical="center"/>
    </xf>
    <xf numFmtId="167" fontId="12" fillId="5" borderId="0" xfId="0" applyNumberFormat="1" applyFont="1" applyFill="1" applyBorder="1" applyAlignment="1">
      <alignment horizontal="center"/>
    </xf>
    <xf numFmtId="164" fontId="5" fillId="7" borderId="0" xfId="0" applyNumberFormat="1" applyFont="1" applyFill="1" applyBorder="1" applyAlignment="1">
      <alignment horizontal="center" vertical="center"/>
    </xf>
    <xf numFmtId="164" fontId="6" fillId="7" borderId="0" xfId="0" applyNumberFormat="1" applyFont="1" applyFill="1" applyBorder="1" applyAlignment="1">
      <alignment horizontal="right"/>
    </xf>
    <xf numFmtId="164" fontId="5" fillId="7" borderId="0" xfId="1" applyNumberFormat="1" applyFont="1" applyFill="1" applyBorder="1" applyAlignment="1">
      <alignment horizontal="right"/>
    </xf>
    <xf numFmtId="164" fontId="5" fillId="10" borderId="0" xfId="0" applyNumberFormat="1" applyFont="1" applyFill="1" applyBorder="1" applyAlignment="1">
      <alignment horizontal="center" vertical="center"/>
    </xf>
    <xf numFmtId="164" fontId="5" fillId="7" borderId="0" xfId="0" applyNumberFormat="1" applyFont="1" applyFill="1" applyBorder="1" applyAlignment="1">
      <alignment horizontal="right"/>
    </xf>
    <xf numFmtId="0" fontId="6" fillId="7" borderId="0" xfId="0" applyFont="1" applyFill="1" applyBorder="1" applyAlignment="1">
      <alignment horizontal="center"/>
    </xf>
    <xf numFmtId="164" fontId="5" fillId="6" borderId="0" xfId="0" applyNumberFormat="1" applyFont="1" applyFill="1" applyBorder="1" applyAlignment="1">
      <alignment horizontal="right" vertical="center"/>
    </xf>
    <xf numFmtId="164" fontId="5" fillId="10" borderId="0" xfId="0" applyNumberFormat="1" applyFont="1" applyFill="1" applyBorder="1" applyAlignment="1">
      <alignment horizontal="center"/>
    </xf>
    <xf numFmtId="164" fontId="5" fillId="6" borderId="26" xfId="0" applyNumberFormat="1" applyFont="1" applyFill="1" applyBorder="1" applyAlignment="1">
      <alignment horizontal="right" vertical="center"/>
    </xf>
    <xf numFmtId="3" fontId="6" fillId="5" borderId="0" xfId="0" applyNumberFormat="1" applyFont="1" applyFill="1" applyAlignment="1">
      <alignment horizontal="center"/>
    </xf>
    <xf numFmtId="4" fontId="3" fillId="5" borderId="0" xfId="0" applyNumberFormat="1" applyFont="1" applyFill="1" applyAlignment="1">
      <alignment horizontal="center"/>
    </xf>
    <xf numFmtId="4" fontId="3" fillId="5" borderId="26" xfId="0" applyNumberFormat="1" applyFont="1" applyFill="1" applyBorder="1" applyAlignment="1">
      <alignment horizontal="center"/>
    </xf>
    <xf numFmtId="165" fontId="6" fillId="5" borderId="0" xfId="0" applyNumberFormat="1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 vertical="center" wrapText="1"/>
    </xf>
    <xf numFmtId="3" fontId="2" fillId="5" borderId="29" xfId="0" applyNumberFormat="1" applyFont="1" applyFill="1" applyBorder="1" applyAlignment="1">
      <alignment horizontal="center"/>
    </xf>
    <xf numFmtId="4" fontId="6" fillId="5" borderId="0" xfId="0" applyNumberFormat="1" applyFont="1" applyFill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2">
    <cellStyle name="-Trait bleu Bas" xfId="9"/>
    <cellStyle name="Euro" xfId="5"/>
    <cellStyle name="Lien hypertexte" xfId="10" builtinId="8" hidden="1"/>
    <cellStyle name="Lien hypertexte visité" xfId="11" builtinId="9" hidden="1"/>
    <cellStyle name="Milliers" xfId="3" builtinId="3"/>
    <cellStyle name="Multiple" xfId="6"/>
    <cellStyle name="Normal" xfId="0" builtinId="0"/>
    <cellStyle name="Normal 2" xfId="1"/>
    <cellStyle name="Normal 3" xfId="2"/>
    <cellStyle name="Normal 4" xfId="7"/>
    <cellStyle name="Pourcentage" xfId="4" builtinId="5"/>
    <cellStyle name="Pourcentage 2" xfId="8"/>
  </cellStyles>
  <dxfs count="0"/>
  <tableStyles count="0" defaultTableStyle="TableStyleMedium2" defaultPivotStyle="PivotStyleLight16"/>
  <colors>
    <mruColors>
      <color rgb="FFFAE14C"/>
      <color rgb="FF090FFF"/>
      <color rgb="FF1807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externalLink" Target="externalLinks/externalLink1.xml"/><Relationship Id="rId14" Type="http://schemas.openxmlformats.org/officeDocument/2006/relationships/externalLink" Target="externalLinks/externalLink2.xml"/><Relationship Id="rId15" Type="http://schemas.openxmlformats.org/officeDocument/2006/relationships/externalLink" Target="externalLinks/externalLink3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"/>
          <c:y val="0.0904349742541724"/>
          <c:w val="0.478241384042681"/>
          <c:h val="0.7280131968236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07050374830597"/>
                  <c:y val="0.05733120316482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14421757329353"/>
                  <c:y val="-0.2763873027321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458627107886024"/>
                  <c:y val="0.1062558019942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317711320853105"/>
                  <c:y val="0.07845631891433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baseline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Actionnariat!$A$2:$A$5</c:f>
              <c:strCache>
                <c:ptCount val="4"/>
                <c:pt idx="0">
                  <c:v>- Dirigeants fondateurs (L.B, M.B, W.H &amp; M.R)</c:v>
                </c:pt>
                <c:pt idx="1">
                  <c:v>- SO</c:v>
                </c:pt>
                <c:pt idx="2">
                  <c:v>- P Holding (détenue par les adhérents et affiliés)</c:v>
                </c:pt>
                <c:pt idx="3">
                  <c:v>- Autres personnes physiques (pharmaciens adhérents)</c:v>
                </c:pt>
              </c:strCache>
            </c:strRef>
          </c:cat>
          <c:val>
            <c:numRef>
              <c:f>Actionnariat!$B$2:$B$5</c:f>
              <c:numCache>
                <c:formatCode>0%</c:formatCode>
                <c:ptCount val="4"/>
                <c:pt idx="0">
                  <c:v>0.3694</c:v>
                </c:pt>
                <c:pt idx="1">
                  <c:v>0.5201</c:v>
                </c:pt>
                <c:pt idx="2">
                  <c:v>0.0806</c:v>
                </c:pt>
                <c:pt idx="3">
                  <c:v>0.0298999999999999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430254490247543"/>
          <c:y val="0.0459403405636966"/>
          <c:w val="0.554476309333882"/>
          <c:h val="0.954059283545188"/>
        </c:manualLayout>
      </c:layout>
      <c:overlay val="0"/>
      <c:txPr>
        <a:bodyPr/>
        <a:lstStyle/>
        <a:p>
          <a:pPr>
            <a:defRPr sz="1100" b="1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55074365704"/>
          <c:y val="0.0514005540974045"/>
          <c:w val="0.843941382327209"/>
          <c:h val="0.735397346165063"/>
        </c:manualLayout>
      </c:layout>
      <c:lineChart>
        <c:grouping val="standard"/>
        <c:varyColors val="0"/>
        <c:ser>
          <c:idx val="1"/>
          <c:order val="0"/>
          <c:tx>
            <c:strRef>
              <c:f>Feuil1!$B$2</c:f>
              <c:strCache>
                <c:ptCount val="1"/>
                <c:pt idx="0">
                  <c:v>Groupement</c:v>
                </c:pt>
              </c:strCache>
            </c:strRef>
          </c:tx>
          <c:marker>
            <c:symbol val="none"/>
          </c:marker>
          <c:cat>
            <c:numRef>
              <c:f>Feuil1!$A$3:$A$12</c:f>
              <c:numCache>
                <c:formatCode>General</c:formatCode>
                <c:ptCount val="10"/>
                <c:pt idx="0">
                  <c:v>1991.0</c:v>
                </c:pt>
                <c:pt idx="1">
                  <c:v>1996.0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2005.0</c:v>
                </c:pt>
                <c:pt idx="7">
                  <c:v>2007.0</c:v>
                </c:pt>
                <c:pt idx="8">
                  <c:v>2009.0</c:v>
                </c:pt>
                <c:pt idx="9">
                  <c:v>2010.0</c:v>
                </c:pt>
              </c:numCache>
            </c:numRef>
          </c:cat>
          <c:val>
            <c:numRef>
              <c:f>Feuil1!$B$3:$B$12</c:f>
              <c:numCache>
                <c:formatCode>General</c:formatCode>
                <c:ptCount val="10"/>
                <c:pt idx="0">
                  <c:v>17.0</c:v>
                </c:pt>
                <c:pt idx="1">
                  <c:v>100.0</c:v>
                </c:pt>
                <c:pt idx="2">
                  <c:v>400.0</c:v>
                </c:pt>
                <c:pt idx="3">
                  <c:v>560.0</c:v>
                </c:pt>
                <c:pt idx="4">
                  <c:v>700.0</c:v>
                </c:pt>
                <c:pt idx="5">
                  <c:v>1000.0</c:v>
                </c:pt>
                <c:pt idx="6">
                  <c:v>1400.0</c:v>
                </c:pt>
                <c:pt idx="7">
                  <c:v>1500.0</c:v>
                </c:pt>
                <c:pt idx="8">
                  <c:v>2271.0</c:v>
                </c:pt>
                <c:pt idx="9">
                  <c:v>2632.0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Feuil1!$C$2</c:f>
              <c:strCache>
                <c:ptCount val="1"/>
                <c:pt idx="0">
                  <c:v>Enseignes</c:v>
                </c:pt>
              </c:strCache>
            </c:strRef>
          </c:tx>
          <c:marker>
            <c:symbol val="none"/>
          </c:marker>
          <c:cat>
            <c:numRef>
              <c:f>Feuil1!$A$3:$A$12</c:f>
              <c:numCache>
                <c:formatCode>General</c:formatCode>
                <c:ptCount val="10"/>
                <c:pt idx="0">
                  <c:v>1991.0</c:v>
                </c:pt>
                <c:pt idx="1">
                  <c:v>1996.0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2005.0</c:v>
                </c:pt>
                <c:pt idx="7">
                  <c:v>2007.0</c:v>
                </c:pt>
                <c:pt idx="8">
                  <c:v>2009.0</c:v>
                </c:pt>
                <c:pt idx="9">
                  <c:v>2010.0</c:v>
                </c:pt>
              </c:numCache>
            </c:numRef>
          </c:cat>
          <c:val>
            <c:numRef>
              <c:f>Feuil1!$C$3:$C$12</c:f>
              <c:numCache>
                <c:formatCode>General</c:formatCode>
                <c:ptCount val="10"/>
                <c:pt idx="5">
                  <c:v>20.0</c:v>
                </c:pt>
                <c:pt idx="6">
                  <c:v>40.0</c:v>
                </c:pt>
                <c:pt idx="7">
                  <c:v>106.0</c:v>
                </c:pt>
                <c:pt idx="8">
                  <c:v>293.0</c:v>
                </c:pt>
                <c:pt idx="9">
                  <c:v>491.0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391192"/>
        <c:axId val="557379096"/>
      </c:lineChart>
      <c:catAx>
        <c:axId val="557391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7379096"/>
        <c:crosses val="autoZero"/>
        <c:auto val="1"/>
        <c:lblAlgn val="ctr"/>
        <c:lblOffset val="100"/>
        <c:noMultiLvlLbl val="0"/>
      </c:catAx>
      <c:valAx>
        <c:axId val="557379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7391192"/>
        <c:crosses val="autoZero"/>
        <c:crossBetween val="between"/>
      </c:valAx>
      <c:spPr>
        <a:pattFill prst="pct5">
          <a:fgClr>
            <a:schemeClr val="bg1"/>
          </a:fgClr>
          <a:bgClr>
            <a:schemeClr val="bg1"/>
          </a:bgClr>
        </a:pattFill>
        <a:effectLst>
          <a:outerShdw dist="50800" dir="5400000" sx="1000" sy="1000" algn="ctr" rotWithShape="0">
            <a:schemeClr val="bg1"/>
          </a:outerShdw>
        </a:effectLst>
      </c:spPr>
    </c:plotArea>
    <c:legend>
      <c:legendPos val="r"/>
      <c:layout>
        <c:manualLayout>
          <c:xMode val="edge"/>
          <c:yMode val="edge"/>
          <c:x val="0.11076312335958"/>
          <c:y val="0.888505030621173"/>
          <c:w val="0.586459098862642"/>
          <c:h val="0.10724919801691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22016</xdr:colOff>
      <xdr:row>4</xdr:row>
      <xdr:rowOff>134495</xdr:rowOff>
    </xdr:from>
    <xdr:to>
      <xdr:col>6</xdr:col>
      <xdr:colOff>357195</xdr:colOff>
      <xdr:row>11</xdr:row>
      <xdr:rowOff>9091</xdr:rowOff>
    </xdr:to>
    <xdr:pic>
      <xdr:nvPicPr>
        <xdr:cNvPr id="3" name="Image 2" descr="Logo 2012 petit.jpg"/>
        <xdr:cNvPicPr>
          <a:picLocks noChangeAspect="1"/>
        </xdr:cNvPicPr>
      </xdr:nvPicPr>
      <xdr:blipFill>
        <a:blip xmlns:r="http://schemas.openxmlformats.org/officeDocument/2006/relationships" r:embed="rId1">
          <a:alphaModFix amt="18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177387">
          <a:off x="22016" y="845695"/>
          <a:ext cx="4411879" cy="97949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251463</xdr:colOff>
      <xdr:row>17</xdr:row>
      <xdr:rowOff>130255</xdr:rowOff>
    </xdr:from>
    <xdr:to>
      <xdr:col>12</xdr:col>
      <xdr:colOff>222747</xdr:colOff>
      <xdr:row>34</xdr:row>
      <xdr:rowOff>7846</xdr:rowOff>
    </xdr:to>
    <xdr:pic>
      <xdr:nvPicPr>
        <xdr:cNvPr id="2" name="Image 1" descr="Logo 2012 petit.jpg"/>
        <xdr:cNvPicPr>
          <a:picLocks noChangeAspect="1"/>
        </xdr:cNvPicPr>
      </xdr:nvPicPr>
      <xdr:blipFill>
        <a:blip xmlns:r="http://schemas.openxmlformats.org/officeDocument/2006/relationships" r:embed="rId1">
          <a:alphaModFix amt="18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177387">
          <a:off x="251463" y="2430366"/>
          <a:ext cx="7520728" cy="166970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8</xdr:row>
      <xdr:rowOff>134493</xdr:rowOff>
    </xdr:from>
    <xdr:to>
      <xdr:col>15</xdr:col>
      <xdr:colOff>17679</xdr:colOff>
      <xdr:row>35</xdr:row>
      <xdr:rowOff>47189</xdr:rowOff>
    </xdr:to>
    <xdr:pic>
      <xdr:nvPicPr>
        <xdr:cNvPr id="2" name="Image 1" descr="Logo 2012 petit.jpg"/>
        <xdr:cNvPicPr>
          <a:picLocks noChangeAspect="1"/>
        </xdr:cNvPicPr>
      </xdr:nvPicPr>
      <xdr:blipFill>
        <a:blip xmlns:r="http://schemas.openxmlformats.org/officeDocument/2006/relationships" r:embed="rId1">
          <a:alphaModFix amt="18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177387">
          <a:off x="3162300" y="845693"/>
          <a:ext cx="4411879" cy="97949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739140</xdr:colOff>
      <xdr:row>1</xdr:row>
      <xdr:rowOff>129540</xdr:rowOff>
    </xdr:from>
    <xdr:to>
      <xdr:col>11</xdr:col>
      <xdr:colOff>197485</xdr:colOff>
      <xdr:row>13</xdr:row>
      <xdr:rowOff>95568</xdr:rowOff>
    </xdr:to>
    <xdr:pic>
      <xdr:nvPicPr>
        <xdr:cNvPr id="2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1540" y="312420"/>
          <a:ext cx="4213225" cy="2160588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5</xdr:col>
      <xdr:colOff>480060</xdr:colOff>
      <xdr:row>2</xdr:row>
      <xdr:rowOff>34290</xdr:rowOff>
    </xdr:from>
    <xdr:to>
      <xdr:col>11</xdr:col>
      <xdr:colOff>297180</xdr:colOff>
      <xdr:row>16</xdr:row>
      <xdr:rowOff>34290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548640</xdr:colOff>
      <xdr:row>5</xdr:row>
      <xdr:rowOff>30480</xdr:rowOff>
    </xdr:from>
    <xdr:to>
      <xdr:col>8</xdr:col>
      <xdr:colOff>670560</xdr:colOff>
      <xdr:row>8</xdr:row>
      <xdr:rowOff>167640</xdr:rowOff>
    </xdr:to>
    <xdr:sp macro="" textlink="">
      <xdr:nvSpPr>
        <xdr:cNvPr id="7" name="Rectangle à coins arrondis 6"/>
        <xdr:cNvSpPr/>
      </xdr:nvSpPr>
      <xdr:spPr>
        <a:xfrm>
          <a:off x="6126480" y="944880"/>
          <a:ext cx="914400" cy="685800"/>
        </a:xfrm>
        <a:prstGeom prst="wedgeRoundRectCallout">
          <a:avLst>
            <a:gd name="adj1" fmla="val 105834"/>
            <a:gd name="adj2" fmla="val 2931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Refonte du contrat d'adhésion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10733</xdr:colOff>
      <xdr:row>5</xdr:row>
      <xdr:rowOff>96393</xdr:rowOff>
    </xdr:from>
    <xdr:to>
      <xdr:col>6</xdr:col>
      <xdr:colOff>523712</xdr:colOff>
      <xdr:row>12</xdr:row>
      <xdr:rowOff>110689</xdr:rowOff>
    </xdr:to>
    <xdr:pic>
      <xdr:nvPicPr>
        <xdr:cNvPr id="2" name="Image 1" descr="Logo 2012 petit.jpg"/>
        <xdr:cNvPicPr>
          <a:picLocks noChangeAspect="1"/>
        </xdr:cNvPicPr>
      </xdr:nvPicPr>
      <xdr:blipFill>
        <a:blip xmlns:r="http://schemas.openxmlformats.org/officeDocument/2006/relationships" r:embed="rId1">
          <a:alphaModFix amt="18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177387">
          <a:off x="10733" y="985393"/>
          <a:ext cx="4411879" cy="9794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11</xdr:row>
      <xdr:rowOff>139700</xdr:rowOff>
    </xdr:from>
    <xdr:to>
      <xdr:col>5</xdr:col>
      <xdr:colOff>220879</xdr:colOff>
      <xdr:row>18</xdr:row>
      <xdr:rowOff>52396</xdr:rowOff>
    </xdr:to>
    <xdr:pic>
      <xdr:nvPicPr>
        <xdr:cNvPr id="2" name="Image 1" descr="Logo 2012 petit.jpg"/>
        <xdr:cNvPicPr>
          <a:picLocks noChangeAspect="1"/>
        </xdr:cNvPicPr>
      </xdr:nvPicPr>
      <xdr:blipFill>
        <a:blip xmlns:r="http://schemas.openxmlformats.org/officeDocument/2006/relationships" r:embed="rId1">
          <a:alphaModFix amt="18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177387">
          <a:off x="165100" y="1701800"/>
          <a:ext cx="4411879" cy="9794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754380</xdr:colOff>
      <xdr:row>6</xdr:row>
      <xdr:rowOff>87630</xdr:rowOff>
    </xdr:from>
    <xdr:to>
      <xdr:col>9</xdr:col>
      <xdr:colOff>601980</xdr:colOff>
      <xdr:row>14</xdr:row>
      <xdr:rowOff>121920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254000</xdr:colOff>
      <xdr:row>6</xdr:row>
      <xdr:rowOff>165101</xdr:rowOff>
    </xdr:from>
    <xdr:to>
      <xdr:col>8</xdr:col>
      <xdr:colOff>538379</xdr:colOff>
      <xdr:row>12</xdr:row>
      <xdr:rowOff>77797</xdr:rowOff>
    </xdr:to>
    <xdr:pic>
      <xdr:nvPicPr>
        <xdr:cNvPr id="3" name="Image 2" descr="Logo 2012 petit.jpg"/>
        <xdr:cNvPicPr>
          <a:picLocks noChangeAspect="1"/>
        </xdr:cNvPicPr>
      </xdr:nvPicPr>
      <xdr:blipFill>
        <a:blip xmlns:r="http://schemas.openxmlformats.org/officeDocument/2006/relationships" r:embed="rId2">
          <a:alphaModFix amt="18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177387">
          <a:off x="4292600" y="1765301"/>
          <a:ext cx="4411879" cy="9794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10732</xdr:colOff>
      <xdr:row>3</xdr:row>
      <xdr:rowOff>134493</xdr:rowOff>
    </xdr:from>
    <xdr:to>
      <xdr:col>4</xdr:col>
      <xdr:colOff>79211</xdr:colOff>
      <xdr:row>9</xdr:row>
      <xdr:rowOff>47189</xdr:rowOff>
    </xdr:to>
    <xdr:pic>
      <xdr:nvPicPr>
        <xdr:cNvPr id="2" name="Image 1" descr="Logo 2012 petit.jpg"/>
        <xdr:cNvPicPr>
          <a:picLocks noChangeAspect="1"/>
        </xdr:cNvPicPr>
      </xdr:nvPicPr>
      <xdr:blipFill>
        <a:blip xmlns:r="http://schemas.openxmlformats.org/officeDocument/2006/relationships" r:embed="rId1">
          <a:alphaModFix amt="18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177387">
          <a:off x="10732" y="845693"/>
          <a:ext cx="4411879" cy="9794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1451428</xdr:colOff>
      <xdr:row>36</xdr:row>
      <xdr:rowOff>113663</xdr:rowOff>
    </xdr:from>
    <xdr:to>
      <xdr:col>12</xdr:col>
      <xdr:colOff>65385</xdr:colOff>
      <xdr:row>46</xdr:row>
      <xdr:rowOff>40918</xdr:rowOff>
    </xdr:to>
    <xdr:pic>
      <xdr:nvPicPr>
        <xdr:cNvPr id="2" name="Image 1" descr="Logo 2012 petit.jpg"/>
        <xdr:cNvPicPr>
          <a:picLocks noChangeAspect="1"/>
        </xdr:cNvPicPr>
      </xdr:nvPicPr>
      <xdr:blipFill>
        <a:blip xmlns:r="http://schemas.openxmlformats.org/officeDocument/2006/relationships" r:embed="rId1">
          <a:alphaModFix amt="18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177387">
          <a:off x="1451428" y="6445520"/>
          <a:ext cx="6741957" cy="174154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124076</xdr:colOff>
      <xdr:row>13</xdr:row>
      <xdr:rowOff>57915</xdr:rowOff>
    </xdr:from>
    <xdr:to>
      <xdr:col>11</xdr:col>
      <xdr:colOff>178468</xdr:colOff>
      <xdr:row>23</xdr:row>
      <xdr:rowOff>65739</xdr:rowOff>
    </xdr:to>
    <xdr:pic>
      <xdr:nvPicPr>
        <xdr:cNvPr id="2" name="Image 1" descr="Logo 2012 petit.jpg"/>
        <xdr:cNvPicPr>
          <a:picLocks noChangeAspect="1"/>
        </xdr:cNvPicPr>
      </xdr:nvPicPr>
      <xdr:blipFill>
        <a:blip xmlns:r="http://schemas.openxmlformats.org/officeDocument/2006/relationships" r:embed="rId1">
          <a:alphaModFix amt="18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177387">
          <a:off x="3489576" y="1696215"/>
          <a:ext cx="6899692" cy="15318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1810713</xdr:colOff>
      <xdr:row>12</xdr:row>
      <xdr:rowOff>35280</xdr:rowOff>
    </xdr:from>
    <xdr:to>
      <xdr:col>14</xdr:col>
      <xdr:colOff>314877</xdr:colOff>
      <xdr:row>22</xdr:row>
      <xdr:rowOff>27543</xdr:rowOff>
    </xdr:to>
    <xdr:pic>
      <xdr:nvPicPr>
        <xdr:cNvPr id="2" name="Image 1" descr="Logo 2012 petit.jpg"/>
        <xdr:cNvPicPr>
          <a:picLocks noChangeAspect="1"/>
        </xdr:cNvPicPr>
      </xdr:nvPicPr>
      <xdr:blipFill>
        <a:blip xmlns:r="http://schemas.openxmlformats.org/officeDocument/2006/relationships" r:embed="rId1">
          <a:alphaModFix amt="18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177387">
          <a:off x="1810713" y="1333502"/>
          <a:ext cx="6956720" cy="15444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</xdr:colOff>
      <xdr:row>61</xdr:row>
      <xdr:rowOff>0</xdr:rowOff>
    </xdr:from>
    <xdr:to>
      <xdr:col>7</xdr:col>
      <xdr:colOff>601980</xdr:colOff>
      <xdr:row>63</xdr:row>
      <xdr:rowOff>30480</xdr:rowOff>
    </xdr:to>
    <xdr:sp macro="" textlink="">
      <xdr:nvSpPr>
        <xdr:cNvPr id="2" name="Accolade fermante 1"/>
        <xdr:cNvSpPr/>
      </xdr:nvSpPr>
      <xdr:spPr>
        <a:xfrm rot="5400000">
          <a:off x="5203508" y="6803707"/>
          <a:ext cx="335280" cy="349186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7621</xdr:colOff>
      <xdr:row>97</xdr:row>
      <xdr:rowOff>15240</xdr:rowOff>
    </xdr:from>
    <xdr:to>
      <xdr:col>2</xdr:col>
      <xdr:colOff>160020</xdr:colOff>
      <xdr:row>100</xdr:row>
      <xdr:rowOff>137160</xdr:rowOff>
    </xdr:to>
    <xdr:sp macro="" textlink="">
      <xdr:nvSpPr>
        <xdr:cNvPr id="3" name="Accolade fermante 2"/>
        <xdr:cNvSpPr/>
      </xdr:nvSpPr>
      <xdr:spPr>
        <a:xfrm>
          <a:off x="3579496" y="13883640"/>
          <a:ext cx="152399" cy="5791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585742</xdr:colOff>
      <xdr:row>25</xdr:row>
      <xdr:rowOff>110435</xdr:rowOff>
    </xdr:from>
    <xdr:to>
      <xdr:col>12</xdr:col>
      <xdr:colOff>326977</xdr:colOff>
      <xdr:row>44</xdr:row>
      <xdr:rowOff>59152</xdr:rowOff>
    </xdr:to>
    <xdr:pic>
      <xdr:nvPicPr>
        <xdr:cNvPr id="4" name="Image 3" descr="Logo 2012 petit.jpg"/>
        <xdr:cNvPicPr>
          <a:picLocks noChangeAspect="1"/>
        </xdr:cNvPicPr>
      </xdr:nvPicPr>
      <xdr:blipFill>
        <a:blip xmlns:r="http://schemas.openxmlformats.org/officeDocument/2006/relationships" r:embed="rId1">
          <a:alphaModFix amt="18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177387">
          <a:off x="585742" y="3463235"/>
          <a:ext cx="10752135" cy="2387117"/>
        </a:xfrm>
        <a:prstGeom prst="rect">
          <a:avLst/>
        </a:prstGeom>
      </xdr:spPr>
    </xdr:pic>
    <xdr:clientData/>
  </xdr:twoCellAnchor>
  <xdr:twoCellAnchor editAs="oneCell">
    <xdr:from>
      <xdr:col>0</xdr:col>
      <xdr:colOff>10732</xdr:colOff>
      <xdr:row>83</xdr:row>
      <xdr:rowOff>647700</xdr:rowOff>
    </xdr:from>
    <xdr:to>
      <xdr:col>2</xdr:col>
      <xdr:colOff>333211</xdr:colOff>
      <xdr:row>89</xdr:row>
      <xdr:rowOff>26996</xdr:rowOff>
    </xdr:to>
    <xdr:pic>
      <xdr:nvPicPr>
        <xdr:cNvPr id="5" name="Image 4" descr="Logo 2012 petit.jpg"/>
        <xdr:cNvPicPr>
          <a:picLocks noChangeAspect="1"/>
        </xdr:cNvPicPr>
      </xdr:nvPicPr>
      <xdr:blipFill>
        <a:blip xmlns:r="http://schemas.openxmlformats.org/officeDocument/2006/relationships" r:embed="rId1">
          <a:alphaModFix amt="18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177387">
          <a:off x="10732" y="11468100"/>
          <a:ext cx="4411879" cy="9794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udget%20recettes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UDGET%202011%20V2%20retrait&#23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tresorerie%202011%20Fournisseu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dier"/>
      <sheetName val="Recettes et Echéances"/>
      <sheetName val="Réglements reçus"/>
      <sheetName val="Récap encaissements"/>
    </sheetNames>
    <sheetDataSet>
      <sheetData sheetId="0" refreshError="1"/>
      <sheetData sheetId="1">
        <row r="107">
          <cell r="T107">
            <v>18653263.450000007</v>
          </cell>
        </row>
        <row r="129">
          <cell r="T129">
            <v>3802640.6994314385</v>
          </cell>
        </row>
        <row r="131">
          <cell r="T131">
            <v>22455904.149431445</v>
          </cell>
        </row>
        <row r="132">
          <cell r="D132">
            <v>6.0664787362663758E-2</v>
          </cell>
          <cell r="G132">
            <v>7.2559973969167468E-2</v>
          </cell>
          <cell r="H132">
            <v>7.026745877449686E-2</v>
          </cell>
          <cell r="I132">
            <v>7.1872112774419725E-2</v>
          </cell>
          <cell r="J132">
            <v>5.1390182319581493E-2</v>
          </cell>
          <cell r="K132">
            <v>8.4450467389007022E-2</v>
          </cell>
          <cell r="L132">
            <v>8.7975797520264701E-2</v>
          </cell>
          <cell r="M132">
            <v>7.9944834150702637E-2</v>
          </cell>
          <cell r="N132">
            <v>0.1027555004040247</v>
          </cell>
          <cell r="O132">
            <v>8.3605351996335744E-2</v>
          </cell>
          <cell r="P132">
            <v>4.7387482471318368E-2</v>
          </cell>
          <cell r="Q132">
            <v>0.1871260508680174</v>
          </cell>
        </row>
      </sheetData>
      <sheetData sheetId="2">
        <row r="135">
          <cell r="D135">
            <v>3607611.04</v>
          </cell>
        </row>
        <row r="137">
          <cell r="B137">
            <v>0.21362974596063994</v>
          </cell>
          <cell r="C137">
            <v>0.78637025403936012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PENSES PHR"/>
    </sheetNames>
    <sheetDataSet>
      <sheetData sheetId="0">
        <row r="2">
          <cell r="C2">
            <v>0.13340129256955216</v>
          </cell>
          <cell r="D2">
            <v>1.6215712192214592E-2</v>
          </cell>
          <cell r="E2">
            <v>0.30378030601817257</v>
          </cell>
          <cell r="F2">
            <v>1.6215712192214592E-2</v>
          </cell>
          <cell r="G2">
            <v>1.6215712192214592E-2</v>
          </cell>
          <cell r="H2">
            <v>0.14629884675108229</v>
          </cell>
          <cell r="I2">
            <v>1.6215712192214592E-2</v>
          </cell>
          <cell r="J2">
            <v>1.6215712192214592E-2</v>
          </cell>
          <cell r="K2">
            <v>0.15015967060351415</v>
          </cell>
          <cell r="L2">
            <v>1.6215712192214592E-2</v>
          </cell>
          <cell r="M2">
            <v>0.15284989871217666</v>
          </cell>
          <cell r="N2">
            <v>1.6215712192214592E-2</v>
          </cell>
        </row>
        <row r="12">
          <cell r="C12">
            <v>0</v>
          </cell>
          <cell r="D12">
            <v>6.7669172932330823E-2</v>
          </cell>
          <cell r="E12">
            <v>6.0150375939849621E-2</v>
          </cell>
          <cell r="F12">
            <v>0</v>
          </cell>
          <cell r="G12">
            <v>6.7669172932330823E-2</v>
          </cell>
          <cell r="H12">
            <v>0</v>
          </cell>
          <cell r="I12">
            <v>0</v>
          </cell>
          <cell r="J12">
            <v>6.7669172932330823E-2</v>
          </cell>
          <cell r="K12">
            <v>6.0150375939849621E-2</v>
          </cell>
          <cell r="L12">
            <v>0</v>
          </cell>
          <cell r="M12">
            <v>0.67669172932330823</v>
          </cell>
          <cell r="N12">
            <v>0</v>
          </cell>
        </row>
        <row r="16">
          <cell r="C16">
            <v>5.9948784749353869E-2</v>
          </cell>
          <cell r="D16">
            <v>6.0614838335632019E-2</v>
          </cell>
          <cell r="E16">
            <v>6.9614265608787501E-2</v>
          </cell>
          <cell r="F16">
            <v>7.6279643896849297E-2</v>
          </cell>
          <cell r="G16">
            <v>7.7944117531824633E-2</v>
          </cell>
          <cell r="H16">
            <v>8.2945022184911094E-2</v>
          </cell>
          <cell r="I16">
            <v>8.6277491218701971E-2</v>
          </cell>
          <cell r="J16">
            <v>9.1274874107948226E-2</v>
          </cell>
          <cell r="K16">
            <v>9.2942869506763767E-2</v>
          </cell>
          <cell r="L16">
            <v>9.6275778761034672E-2</v>
          </cell>
          <cell r="M16">
            <v>9.6275778761034672E-2</v>
          </cell>
          <cell r="N16">
            <v>0.10960653533715826</v>
          </cell>
        </row>
        <row r="20">
          <cell r="C20">
            <v>8.4905660377358486E-2</v>
          </cell>
          <cell r="D20">
            <v>8.4905660377358486E-2</v>
          </cell>
          <cell r="E20">
            <v>8.4905660377358486E-2</v>
          </cell>
          <cell r="F20">
            <v>8.4905660377358486E-2</v>
          </cell>
          <cell r="G20">
            <v>8.4905660377358486E-2</v>
          </cell>
          <cell r="H20">
            <v>8.4905660377358486E-2</v>
          </cell>
          <cell r="I20">
            <v>8.4905660377358486E-2</v>
          </cell>
          <cell r="J20">
            <v>6.6037735849056603E-2</v>
          </cell>
          <cell r="K20">
            <v>8.4905660377358486E-2</v>
          </cell>
          <cell r="L20">
            <v>8.4905660377358486E-2</v>
          </cell>
          <cell r="M20">
            <v>8.4905660377358486E-2</v>
          </cell>
          <cell r="N20">
            <v>8.4905660377358486E-2</v>
          </cell>
        </row>
        <row r="23">
          <cell r="C23">
            <v>0.1271843565863853</v>
          </cell>
          <cell r="D23">
            <v>6.2097988806514216E-2</v>
          </cell>
          <cell r="E23">
            <v>6.5684112887318818E-2</v>
          </cell>
          <cell r="F23">
            <v>0.12669880506997719</v>
          </cell>
          <cell r="G23">
            <v>6.1547179828393056E-2</v>
          </cell>
          <cell r="H23">
            <v>6.5198561370910721E-2</v>
          </cell>
          <cell r="I23">
            <v>0.12612027098129941</v>
          </cell>
          <cell r="J23">
            <v>5.9931162792016088E-2</v>
          </cell>
          <cell r="K23">
            <v>6.3092001263706399E-2</v>
          </cell>
          <cell r="L23">
            <v>0.12612027098129941</v>
          </cell>
          <cell r="M23">
            <v>5.7832418476239204E-2</v>
          </cell>
          <cell r="N23">
            <v>5.8492870955940239E-2</v>
          </cell>
        </row>
        <row r="56">
          <cell r="C56">
            <v>6.0504070131496557E-2</v>
          </cell>
          <cell r="D56">
            <v>6.0504070131496557E-2</v>
          </cell>
          <cell r="E56">
            <v>0.12899185973700689</v>
          </cell>
          <cell r="F56">
            <v>6.0504070131496557E-2</v>
          </cell>
          <cell r="G56">
            <v>6.0504070131496557E-2</v>
          </cell>
          <cell r="H56">
            <v>0.12899185973700689</v>
          </cell>
          <cell r="I56">
            <v>6.0504070131496557E-2</v>
          </cell>
          <cell r="J56">
            <v>6.0504070131496557E-2</v>
          </cell>
          <cell r="K56">
            <v>0.12899185973700689</v>
          </cell>
          <cell r="L56">
            <v>6.0504070131496557E-2</v>
          </cell>
          <cell r="M56">
            <v>6.0504070131496557E-2</v>
          </cell>
          <cell r="N56">
            <v>0.12899185973700689</v>
          </cell>
        </row>
        <row r="62">
          <cell r="C62">
            <v>8.9820359281437126E-2</v>
          </cell>
          <cell r="D62">
            <v>8.9820359281437126E-2</v>
          </cell>
          <cell r="E62">
            <v>0.19760479041916168</v>
          </cell>
          <cell r="F62">
            <v>2.9940119760479042E-2</v>
          </cell>
          <cell r="G62">
            <v>2.9940119760479042E-2</v>
          </cell>
          <cell r="H62">
            <v>0.10778443113772455</v>
          </cell>
          <cell r="I62">
            <v>0</v>
          </cell>
          <cell r="J62">
            <v>0</v>
          </cell>
          <cell r="K62">
            <v>0.1377245508982036</v>
          </cell>
          <cell r="L62">
            <v>2.9940119760479042E-2</v>
          </cell>
          <cell r="M62">
            <v>8.9820359281437126E-2</v>
          </cell>
          <cell r="N62">
            <v>0.19760479041916168</v>
          </cell>
        </row>
        <row r="66">
          <cell r="C66">
            <v>0.17075358851674641</v>
          </cell>
          <cell r="D66">
            <v>0.11961722488038277</v>
          </cell>
          <cell r="E66">
            <v>0</v>
          </cell>
          <cell r="F66">
            <v>0.17075358851674641</v>
          </cell>
          <cell r="G66">
            <v>0</v>
          </cell>
          <cell r="H66">
            <v>0</v>
          </cell>
          <cell r="I66">
            <v>0.17075358851674641</v>
          </cell>
          <cell r="J66">
            <v>0</v>
          </cell>
          <cell r="K66">
            <v>0.19736842105263158</v>
          </cell>
          <cell r="L66">
            <v>0.17075358851674641</v>
          </cell>
          <cell r="M66">
            <v>0</v>
          </cell>
          <cell r="N66">
            <v>0</v>
          </cell>
        </row>
        <row r="69">
          <cell r="C69">
            <v>0</v>
          </cell>
          <cell r="D69">
            <v>0</v>
          </cell>
          <cell r="E69">
            <v>0.1</v>
          </cell>
          <cell r="F69">
            <v>0.1</v>
          </cell>
          <cell r="G69">
            <v>0.1</v>
          </cell>
          <cell r="H69">
            <v>0.1</v>
          </cell>
          <cell r="I69">
            <v>0.1</v>
          </cell>
          <cell r="J69">
            <v>0.1</v>
          </cell>
          <cell r="K69">
            <v>0.1</v>
          </cell>
          <cell r="L69">
            <v>0.1</v>
          </cell>
          <cell r="M69">
            <v>0.1</v>
          </cell>
          <cell r="N69">
            <v>0.1</v>
          </cell>
        </row>
        <row r="72">
          <cell r="C72">
            <v>3.2181808413474455E-2</v>
          </cell>
          <cell r="D72">
            <v>7.247622629345081E-2</v>
          </cell>
          <cell r="E72">
            <v>7.247622629345081E-2</v>
          </cell>
          <cell r="F72">
            <v>7.247622629345081E-2</v>
          </cell>
          <cell r="G72">
            <v>0.1490356202654059</v>
          </cell>
          <cell r="H72">
            <v>7.247622629345081E-2</v>
          </cell>
          <cell r="I72">
            <v>7.247622629345081E-2</v>
          </cell>
          <cell r="J72">
            <v>3.2181808413474455E-2</v>
          </cell>
          <cell r="K72">
            <v>3.2181808413474455E-2</v>
          </cell>
          <cell r="L72">
            <v>0.11277064417342718</v>
          </cell>
          <cell r="M72">
            <v>0.13963358942674475</v>
          </cell>
          <cell r="N72">
            <v>0.13963358942674475</v>
          </cell>
        </row>
        <row r="79">
          <cell r="C79">
            <v>5.8616092131705058E-2</v>
          </cell>
          <cell r="D79">
            <v>6.4731797804915751E-4</v>
          </cell>
          <cell r="E79">
            <v>6.4731797804915751E-4</v>
          </cell>
          <cell r="F79">
            <v>6.4731797804915751E-4</v>
          </cell>
          <cell r="G79">
            <v>6.4731797804915751E-4</v>
          </cell>
          <cell r="H79">
            <v>6.4731797804915751E-4</v>
          </cell>
          <cell r="I79">
            <v>6.4731797804915751E-4</v>
          </cell>
          <cell r="J79">
            <v>0.1455692533621889</v>
          </cell>
          <cell r="K79">
            <v>6.4731797804915751E-4</v>
          </cell>
          <cell r="L79">
            <v>0.3953180553408564</v>
          </cell>
          <cell r="M79">
            <v>0.19387656515690216</v>
          </cell>
          <cell r="N79">
            <v>0.20208880816200339</v>
          </cell>
        </row>
        <row r="92">
          <cell r="C92">
            <v>7.1007383145554867E-2</v>
          </cell>
          <cell r="D92">
            <v>7.1007383145554867E-2</v>
          </cell>
          <cell r="E92">
            <v>7.1007383145554867E-2</v>
          </cell>
          <cell r="F92">
            <v>0.10058966359622316</v>
          </cell>
          <cell r="G92">
            <v>0.10058966359622316</v>
          </cell>
          <cell r="H92">
            <v>0.10058966359622316</v>
          </cell>
          <cell r="I92">
            <v>7.1007383145554867E-2</v>
          </cell>
          <cell r="J92">
            <v>7.1007383145554867E-2</v>
          </cell>
          <cell r="K92">
            <v>0.10058966359622316</v>
          </cell>
          <cell r="L92">
            <v>0.10058966359622316</v>
          </cell>
          <cell r="M92">
            <v>7.1007383145554867E-2</v>
          </cell>
          <cell r="N92">
            <v>7.1007383145554867E-2</v>
          </cell>
        </row>
        <row r="99">
          <cell r="C99">
            <v>9.6714764300472073E-2</v>
          </cell>
          <cell r="D99">
            <v>7.6642617849763964E-2</v>
          </cell>
          <cell r="E99">
            <v>7.6642617849763964E-2</v>
          </cell>
          <cell r="F99">
            <v>9.6714764300472073E-2</v>
          </cell>
          <cell r="G99">
            <v>7.6642617849763964E-2</v>
          </cell>
          <cell r="H99">
            <v>7.6642617849763964E-2</v>
          </cell>
          <cell r="I99">
            <v>9.6714764300472073E-2</v>
          </cell>
          <cell r="J99">
            <v>7.6642617849763964E-2</v>
          </cell>
          <cell r="K99">
            <v>7.6642617849763964E-2</v>
          </cell>
          <cell r="L99">
            <v>9.6714764300472073E-2</v>
          </cell>
          <cell r="M99">
            <v>7.6642617849763964E-2</v>
          </cell>
          <cell r="N99">
            <v>7.6642617849763964E-2</v>
          </cell>
        </row>
        <row r="105">
          <cell r="C105">
            <v>8.2267068094203907E-2</v>
          </cell>
          <cell r="D105">
            <v>8.2267068094203907E-2</v>
          </cell>
          <cell r="E105">
            <v>8.7065261670286387E-2</v>
          </cell>
          <cell r="F105">
            <v>8.2267068094203907E-2</v>
          </cell>
          <cell r="G105">
            <v>8.2267068094203907E-2</v>
          </cell>
          <cell r="H105">
            <v>8.2267068094203907E-2</v>
          </cell>
          <cell r="I105">
            <v>8.2267068094203907E-2</v>
          </cell>
          <cell r="J105">
            <v>8.2267068094203907E-2</v>
          </cell>
          <cell r="K105">
            <v>8.2267068094203907E-2</v>
          </cell>
          <cell r="L105">
            <v>8.2267068094203907E-2</v>
          </cell>
          <cell r="M105">
            <v>9.0264057387674693E-2</v>
          </cell>
          <cell r="N105">
            <v>8.2267068094203907E-2</v>
          </cell>
        </row>
        <row r="116">
          <cell r="C116">
            <v>8.3333333333333329E-2</v>
          </cell>
          <cell r="D116">
            <v>8.3333333333333329E-2</v>
          </cell>
          <cell r="E116">
            <v>8.3333333333333329E-2</v>
          </cell>
          <cell r="F116">
            <v>8.3333333333333329E-2</v>
          </cell>
          <cell r="G116">
            <v>8.3333333333333329E-2</v>
          </cell>
          <cell r="H116">
            <v>8.3333333333333329E-2</v>
          </cell>
          <cell r="I116">
            <v>8.3333333333333329E-2</v>
          </cell>
          <cell r="J116">
            <v>8.3333333333333329E-2</v>
          </cell>
          <cell r="K116">
            <v>8.3333333333333329E-2</v>
          </cell>
          <cell r="L116">
            <v>8.3333333333333329E-2</v>
          </cell>
          <cell r="M116">
            <v>8.3333333333333329E-2</v>
          </cell>
          <cell r="N116">
            <v>8.3333333333333329E-2</v>
          </cell>
        </row>
        <row r="119">
          <cell r="C119">
            <v>0</v>
          </cell>
          <cell r="D119">
            <v>0.27380952380952384</v>
          </cell>
          <cell r="E119">
            <v>2.3809523809523812E-3</v>
          </cell>
          <cell r="F119">
            <v>0</v>
          </cell>
          <cell r="G119">
            <v>0.12857142857142856</v>
          </cell>
          <cell r="H119">
            <v>0.16666666666666666</v>
          </cell>
          <cell r="I119">
            <v>0</v>
          </cell>
          <cell r="J119">
            <v>0</v>
          </cell>
          <cell r="K119">
            <v>0.16666666666666666</v>
          </cell>
          <cell r="L119">
            <v>0</v>
          </cell>
          <cell r="M119">
            <v>0.22380952380952382</v>
          </cell>
          <cell r="N119">
            <v>3.8095238095238099E-2</v>
          </cell>
        </row>
        <row r="124">
          <cell r="C124">
            <v>7.6470588235294124E-2</v>
          </cell>
          <cell r="D124">
            <v>7.6470588235294124E-2</v>
          </cell>
          <cell r="E124">
            <v>7.6470588235294124E-2</v>
          </cell>
          <cell r="F124">
            <v>7.6470588235294124E-2</v>
          </cell>
          <cell r="G124">
            <v>7.6470588235294124E-2</v>
          </cell>
          <cell r="H124">
            <v>0.11764705882352941</v>
          </cell>
          <cell r="I124">
            <v>7.6470588235294124E-2</v>
          </cell>
          <cell r="J124">
            <v>7.6470588235294124E-2</v>
          </cell>
          <cell r="K124">
            <v>7.6470588235294124E-2</v>
          </cell>
          <cell r="L124">
            <v>7.6470588235294124E-2</v>
          </cell>
          <cell r="M124">
            <v>7.6470588235294124E-2</v>
          </cell>
          <cell r="N124">
            <v>0.11764705882352941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Dettes FNR"/>
      <sheetName val="Feuil3"/>
    </sheetNames>
    <sheetDataSet>
      <sheetData sheetId="0" refreshError="1"/>
      <sheetData sheetId="1" refreshError="1"/>
      <sheetData sheetId="2" refreshError="1">
        <row r="164">
          <cell r="B164">
            <v>-2965448.3699999992</v>
          </cell>
        </row>
        <row r="167">
          <cell r="C167">
            <v>0.27810978851164875</v>
          </cell>
          <cell r="D167">
            <v>0.27269769015640455</v>
          </cell>
          <cell r="E167">
            <v>0.2628353506560499</v>
          </cell>
          <cell r="F167">
            <v>0.11368142115563649</v>
          </cell>
          <cell r="G167">
            <v>5.8184762408774536E-2</v>
          </cell>
          <cell r="H167">
            <v>1.4490987111485753E-2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8"/>
  <sheetViews>
    <sheetView workbookViewId="0">
      <selection activeCell="G8" sqref="G8"/>
    </sheetView>
  </sheetViews>
  <sheetFormatPr baseColWidth="10" defaultRowHeight="14" x14ac:dyDescent="0"/>
  <cols>
    <col min="1" max="1" width="20.1640625" customWidth="1"/>
    <col min="2" max="2" width="7.33203125" style="5" customWidth="1"/>
    <col min="3" max="3" width="5.6640625" style="32" bestFit="1" customWidth="1"/>
    <col min="4" max="4" width="7.33203125" style="5" customWidth="1"/>
    <col min="5" max="5" width="5.6640625" style="32" bestFit="1" customWidth="1"/>
    <col min="6" max="6" width="7.33203125" customWidth="1"/>
    <col min="7" max="7" width="18.1640625" bestFit="1" customWidth="1"/>
    <col min="10" max="12" width="10.83203125" style="2"/>
  </cols>
  <sheetData>
    <row r="1" spans="1:14">
      <c r="A1" s="11" t="s">
        <v>45</v>
      </c>
      <c r="B1" s="12">
        <v>2009</v>
      </c>
      <c r="C1" s="24" t="s">
        <v>56</v>
      </c>
      <c r="D1" s="12">
        <v>2008</v>
      </c>
      <c r="E1" s="24" t="s">
        <v>56</v>
      </c>
      <c r="F1" s="12" t="s">
        <v>57</v>
      </c>
    </row>
    <row r="2" spans="1:14">
      <c r="A2" s="13" t="s">
        <v>36</v>
      </c>
      <c r="B2" s="22">
        <v>0</v>
      </c>
      <c r="C2" s="34">
        <f>+B2/$B$16</f>
        <v>0</v>
      </c>
      <c r="D2" s="14">
        <v>13.5</v>
      </c>
      <c r="E2" s="26">
        <f>+D2/$D$16</f>
        <v>6.3672817932529456E-4</v>
      </c>
      <c r="F2" s="14">
        <f>+B2-D2</f>
        <v>-13.5</v>
      </c>
    </row>
    <row r="3" spans="1:14">
      <c r="A3" s="13" t="s">
        <v>37</v>
      </c>
      <c r="B3" s="14">
        <f>5.235+2.346+179.38</f>
        <v>186.96099999999998</v>
      </c>
      <c r="C3" s="25">
        <f t="shared" ref="C3:C4" si="0">+B3/$B$16</f>
        <v>9.4196292920085082E-3</v>
      </c>
      <c r="D3" s="14">
        <f>7.69+4.02+219.76</f>
        <v>231.47</v>
      </c>
      <c r="E3" s="25">
        <f t="shared" ref="E3:E4" si="1">+D3/$D$16</f>
        <v>1.091729419766118E-2</v>
      </c>
      <c r="F3" s="14">
        <f t="shared" ref="F3:F4" si="2">+B3-D3</f>
        <v>-44.509000000000015</v>
      </c>
    </row>
    <row r="4" spans="1:14">
      <c r="A4" s="13" t="s">
        <v>38</v>
      </c>
      <c r="B4" s="14">
        <f>115.78+67.1</f>
        <v>182.88</v>
      </c>
      <c r="C4" s="25">
        <f t="shared" si="0"/>
        <v>9.2140168533679009E-3</v>
      </c>
      <c r="D4" s="14">
        <f>156.7+66.88</f>
        <v>223.57999999999998</v>
      </c>
      <c r="E4" s="25">
        <f t="shared" si="1"/>
        <v>1.0545161950633285E-2</v>
      </c>
      <c r="F4" s="14">
        <f t="shared" si="2"/>
        <v>-40.699999999999989</v>
      </c>
    </row>
    <row r="5" spans="1:14">
      <c r="A5" s="16" t="s">
        <v>35</v>
      </c>
      <c r="B5" s="17">
        <f>SUM(B2:B4)</f>
        <v>369.84100000000001</v>
      </c>
      <c r="C5" s="27">
        <f>+B5/$B$16</f>
        <v>1.8633646145376413E-2</v>
      </c>
      <c r="D5" s="17">
        <f>SUM(D2:D4)</f>
        <v>468.54999999999995</v>
      </c>
      <c r="E5" s="27">
        <f>+D5/$D$16</f>
        <v>2.2099184327619759E-2</v>
      </c>
      <c r="F5" s="17">
        <f>+B5-D5</f>
        <v>-98.708999999999946</v>
      </c>
    </row>
    <row r="6" spans="1:14" ht="3.5" customHeight="1">
      <c r="A6" s="69"/>
      <c r="B6" s="35"/>
      <c r="C6" s="36"/>
      <c r="D6" s="35"/>
      <c r="E6" s="36"/>
      <c r="F6" s="19"/>
      <c r="G6" s="8"/>
      <c r="H6" s="8"/>
      <c r="I6" s="8"/>
      <c r="J6" s="8"/>
      <c r="K6" s="8"/>
      <c r="L6" s="8"/>
      <c r="M6" s="2"/>
      <c r="N6" s="2"/>
    </row>
    <row r="7" spans="1:14">
      <c r="A7" s="13" t="s">
        <v>41</v>
      </c>
      <c r="B7" s="14">
        <v>173.39</v>
      </c>
      <c r="C7" s="25">
        <f t="shared" ref="C7:C11" si="3">+B7/$B$16</f>
        <v>8.7358835422433299E-3</v>
      </c>
      <c r="D7" s="14">
        <v>422.22</v>
      </c>
      <c r="E7" s="25">
        <f>+D7/$D$16</f>
        <v>1.9914027546275991E-2</v>
      </c>
      <c r="F7" s="14">
        <f t="shared" ref="F7:F11" si="4">+B7-D7</f>
        <v>-248.83000000000004</v>
      </c>
    </row>
    <row r="8" spans="1:14">
      <c r="A8" s="13" t="s">
        <v>40</v>
      </c>
      <c r="B8" s="14">
        <f>7.59+14609.75</f>
        <v>14617.34</v>
      </c>
      <c r="C8" s="25">
        <f t="shared" si="3"/>
        <v>0.73646334815949677</v>
      </c>
      <c r="D8" s="14">
        <f>7.98+8611.58</f>
        <v>8619.56</v>
      </c>
      <c r="E8" s="25">
        <f t="shared" ref="E8:E11" si="5">+D8/$D$16</f>
        <v>0.40654198113963969</v>
      </c>
      <c r="F8" s="14">
        <f t="shared" si="4"/>
        <v>5997.7800000000007</v>
      </c>
    </row>
    <row r="9" spans="1:14">
      <c r="A9" s="13" t="s">
        <v>59</v>
      </c>
      <c r="B9" s="14">
        <f>2512.44</f>
        <v>2512.44</v>
      </c>
      <c r="C9" s="25">
        <f t="shared" si="3"/>
        <v>0.12658390476309958</v>
      </c>
      <c r="D9" s="14">
        <f>7195.13</f>
        <v>7195.13</v>
      </c>
      <c r="E9" s="25">
        <f t="shared" si="5"/>
        <v>0.33935866851176344</v>
      </c>
      <c r="F9" s="14">
        <f t="shared" si="4"/>
        <v>-4682.6900000000005</v>
      </c>
    </row>
    <row r="10" spans="1:14">
      <c r="A10" s="13" t="s">
        <v>42</v>
      </c>
      <c r="B10" s="14">
        <v>3.39</v>
      </c>
      <c r="C10" s="37">
        <f t="shared" si="3"/>
        <v>1.7079788458506772E-4</v>
      </c>
      <c r="D10" s="14">
        <v>3.39</v>
      </c>
      <c r="E10" s="37">
        <f t="shared" si="5"/>
        <v>1.5988952058612952E-4</v>
      </c>
      <c r="F10" s="22">
        <f t="shared" si="4"/>
        <v>0</v>
      </c>
    </row>
    <row r="11" spans="1:14">
      <c r="A11" s="13" t="s">
        <v>43</v>
      </c>
      <c r="B11" s="14">
        <v>1911.73</v>
      </c>
      <c r="C11" s="25">
        <f t="shared" si="3"/>
        <v>9.6318418848911957E-2</v>
      </c>
      <c r="D11" s="14">
        <v>4390.05</v>
      </c>
      <c r="E11" s="25">
        <f t="shared" si="5"/>
        <v>0.20705692915903773</v>
      </c>
      <c r="F11" s="14">
        <f t="shared" si="4"/>
        <v>-2478.3200000000002</v>
      </c>
    </row>
    <row r="12" spans="1:14">
      <c r="A12" s="16" t="s">
        <v>39</v>
      </c>
      <c r="B12" s="17">
        <f>SUM(B7:B11)</f>
        <v>19218.289999999997</v>
      </c>
      <c r="C12" s="27">
        <f>+B12/$B$16</f>
        <v>0.96827235319833649</v>
      </c>
      <c r="D12" s="17">
        <f>SUM(D7:D11)</f>
        <v>20630.349999999999</v>
      </c>
      <c r="E12" s="27">
        <f>+D12/$D$16</f>
        <v>0.97303149587730287</v>
      </c>
      <c r="F12" s="17">
        <f>+B12-D12</f>
        <v>-1412.0600000000013</v>
      </c>
    </row>
    <row r="13" spans="1:14" ht="3.5" customHeight="1">
      <c r="A13" s="69"/>
      <c r="B13" s="35"/>
      <c r="C13" s="36"/>
      <c r="D13" s="35"/>
      <c r="E13" s="36"/>
      <c r="F13" s="19"/>
      <c r="G13" s="8"/>
      <c r="H13" s="8"/>
      <c r="I13" s="8"/>
      <c r="J13" s="8"/>
      <c r="K13" s="8"/>
      <c r="L13" s="8"/>
      <c r="M13" s="2"/>
      <c r="N13" s="2"/>
    </row>
    <row r="14" spans="1:14">
      <c r="A14" s="13" t="s">
        <v>58</v>
      </c>
      <c r="B14" s="14">
        <v>259.89</v>
      </c>
      <c r="C14" s="25">
        <f t="shared" ref="C14" si="6">+B14/$B$16</f>
        <v>1.3094000656287094E-2</v>
      </c>
      <c r="D14" s="14">
        <v>103.24</v>
      </c>
      <c r="E14" s="26">
        <f>+D14/$D$16</f>
        <v>4.8693197950772892E-3</v>
      </c>
      <c r="F14" s="14">
        <f t="shared" ref="F14" si="7">+B14-D14</f>
        <v>156.64999999999998</v>
      </c>
    </row>
    <row r="15" spans="1:14" ht="3.5" customHeight="1">
      <c r="A15" s="69"/>
      <c r="B15" s="35"/>
      <c r="C15" s="36"/>
      <c r="D15" s="35"/>
      <c r="E15" s="36"/>
      <c r="F15" s="19"/>
      <c r="G15" s="8"/>
      <c r="H15" s="8"/>
      <c r="I15" s="8"/>
      <c r="J15" s="8"/>
      <c r="K15" s="8"/>
      <c r="L15" s="8"/>
      <c r="M15" s="2"/>
      <c r="N15" s="2"/>
    </row>
    <row r="16" spans="1:14">
      <c r="A16" s="277" t="s">
        <v>44</v>
      </c>
      <c r="B16" s="278">
        <f>B5+B12+B14</f>
        <v>19848.020999999997</v>
      </c>
      <c r="C16" s="279">
        <f>+B16/$B$16</f>
        <v>1</v>
      </c>
      <c r="D16" s="278">
        <f>D5+D12+D14</f>
        <v>21202.14</v>
      </c>
      <c r="E16" s="279">
        <f>+D16/$D$16</f>
        <v>1</v>
      </c>
      <c r="F16" s="278">
        <f>+B16-D16</f>
        <v>-1354.1190000000024</v>
      </c>
    </row>
    <row r="17" spans="1:6">
      <c r="A17" s="2"/>
      <c r="B17" s="4"/>
      <c r="C17" s="33"/>
      <c r="D17" s="4"/>
      <c r="E17" s="33"/>
      <c r="F17" s="2"/>
    </row>
    <row r="18" spans="1:6">
      <c r="A18" s="2"/>
      <c r="B18" s="4"/>
      <c r="C18" s="33"/>
      <c r="D18" s="4"/>
      <c r="E18" s="33"/>
      <c r="F18" s="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/>
  <ignoredErrors>
    <ignoredError sqref="C5 C12 C16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63"/>
  <sheetViews>
    <sheetView zoomScale="90" zoomScaleNormal="90" zoomScalePageLayoutView="90" workbookViewId="0">
      <selection activeCell="A53" sqref="A53"/>
    </sheetView>
  </sheetViews>
  <sheetFormatPr baseColWidth="10" defaultColWidth="8.83203125" defaultRowHeight="12" outlineLevelRow="1" x14ac:dyDescent="0"/>
  <cols>
    <col min="1" max="1" width="25.33203125" style="5" customWidth="1"/>
    <col min="2" max="2" width="6.33203125" style="5" bestFit="1" customWidth="1" collapsed="1"/>
    <col min="3" max="8" width="6.5" style="5" bestFit="1" customWidth="1"/>
    <col min="9" max="9" width="7.83203125" style="5" bestFit="1" customWidth="1"/>
    <col min="10" max="10" width="6.5" style="5" bestFit="1" customWidth="1"/>
    <col min="11" max="11" width="6.5" style="5" customWidth="1"/>
    <col min="12" max="12" width="7.83203125" style="5" bestFit="1" customWidth="1"/>
    <col min="13" max="13" width="6.5" style="5" bestFit="1" customWidth="1"/>
    <col min="14" max="14" width="2.5" style="4" customWidth="1"/>
    <col min="15" max="15" width="1.83203125" style="4" customWidth="1"/>
    <col min="16" max="16" width="2.5" style="4" customWidth="1"/>
    <col min="17" max="16384" width="8.83203125" style="5"/>
  </cols>
  <sheetData>
    <row r="1" spans="1:16">
      <c r="A1" s="221" t="s">
        <v>20</v>
      </c>
      <c r="B1" s="222" t="s">
        <v>140</v>
      </c>
      <c r="C1" s="222" t="s">
        <v>141</v>
      </c>
      <c r="D1" s="222" t="s">
        <v>142</v>
      </c>
      <c r="E1" s="222" t="s">
        <v>143</v>
      </c>
      <c r="F1" s="222" t="s">
        <v>144</v>
      </c>
      <c r="G1" s="222" t="s">
        <v>145</v>
      </c>
      <c r="H1" s="222" t="s">
        <v>146</v>
      </c>
      <c r="I1" s="222" t="s">
        <v>147</v>
      </c>
      <c r="J1" s="222" t="s">
        <v>148</v>
      </c>
      <c r="K1" s="222" t="s">
        <v>149</v>
      </c>
      <c r="L1" s="222" t="s">
        <v>150</v>
      </c>
      <c r="M1" s="222" t="s">
        <v>151</v>
      </c>
    </row>
    <row r="2" spans="1:16" s="178" customFormat="1">
      <c r="A2" s="223" t="s">
        <v>252</v>
      </c>
      <c r="B2" s="224">
        <f>280.13+32.71+310.5-231.2</f>
        <v>392.13999999999993</v>
      </c>
      <c r="C2" s="224" t="e">
        <f>B53</f>
        <v>#REF!</v>
      </c>
      <c r="D2" s="224" t="e">
        <f t="shared" ref="D2:M2" si="0">C53</f>
        <v>#REF!</v>
      </c>
      <c r="E2" s="224" t="e">
        <f t="shared" si="0"/>
        <v>#REF!</v>
      </c>
      <c r="F2" s="224" t="e">
        <f t="shared" si="0"/>
        <v>#REF!</v>
      </c>
      <c r="G2" s="224" t="e">
        <f t="shared" si="0"/>
        <v>#REF!</v>
      </c>
      <c r="H2" s="224" t="e">
        <f t="shared" si="0"/>
        <v>#REF!</v>
      </c>
      <c r="I2" s="224" t="e">
        <f t="shared" si="0"/>
        <v>#REF!</v>
      </c>
      <c r="J2" s="224" t="e">
        <f t="shared" si="0"/>
        <v>#REF!</v>
      </c>
      <c r="K2" s="224" t="e">
        <f t="shared" si="0"/>
        <v>#REF!</v>
      </c>
      <c r="L2" s="224" t="e">
        <f t="shared" si="0"/>
        <v>#REF!</v>
      </c>
      <c r="M2" s="224" t="e">
        <f t="shared" si="0"/>
        <v>#REF!</v>
      </c>
      <c r="N2" s="4"/>
      <c r="O2" s="4"/>
      <c r="P2" s="4"/>
    </row>
    <row r="3" spans="1:16" ht="3.5" customHeight="1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</row>
    <row r="4" spans="1:16">
      <c r="A4" s="227" t="s">
        <v>216</v>
      </c>
      <c r="B4" s="228" t="e">
        <f>+'CDR mensuel'!B3*'Hypothèses tréso.'!C4*(1+'Hypothèses tréso.'!#REF!)</f>
        <v>#REF!</v>
      </c>
      <c r="C4" s="229" t="e">
        <f>+('CDR mensuel'!C3*'Hypothèses tréso.'!C4+'CDR mensuel'!B3*'Hypothèses tréso.'!D4)*(1+'Hypothèses tréso.'!#REF!)</f>
        <v>#REF!</v>
      </c>
      <c r="D4" s="229" t="e">
        <f>+('CDR mensuel'!D3*'Hypothèses tréso.'!C4+'CDR mensuel'!C3*'Hypothèses tréso.'!D4+'CDR mensuel'!B3*'Hypothèses tréso.'!E4)*(1+'Hypothèses tréso.'!#REF!)</f>
        <v>#REF!</v>
      </c>
      <c r="E4" s="229" t="e">
        <f>+('CDR mensuel'!E3*'Hypothèses tréso.'!C4+'CDR mensuel'!D3*'Hypothèses tréso.'!D4+'CDR mensuel'!C3*'Hypothèses tréso.'!E4)*(1+'Hypothèses tréso.'!#REF!)</f>
        <v>#REF!</v>
      </c>
      <c r="F4" s="229" t="e">
        <f>+('CDR mensuel'!F3*'Hypothèses tréso.'!C4+'CDR mensuel'!E3*'Hypothèses tréso.'!D4+'CDR mensuel'!D3*'Hypothèses tréso.'!E4)*(1+'Hypothèses tréso.'!#REF!)</f>
        <v>#REF!</v>
      </c>
      <c r="G4" s="229" t="e">
        <f>+('CDR mensuel'!G3*'Hypothèses tréso.'!C4+'CDR mensuel'!F3*'Hypothèses tréso.'!D4+'CDR mensuel'!E3*'Hypothèses tréso.'!E4)*(1+'Hypothèses tréso.'!#REF!)</f>
        <v>#REF!</v>
      </c>
      <c r="H4" s="229" t="e">
        <f>+('CDR mensuel'!H3*'Hypothèses tréso.'!C4+'CDR mensuel'!G3*'Hypothèses tréso.'!D4+'CDR mensuel'!F3*'Hypothèses tréso.'!E4)*(1+'Hypothèses tréso.'!#REF!)</f>
        <v>#REF!</v>
      </c>
      <c r="I4" s="229" t="e">
        <f>+('CDR mensuel'!I3*'Hypothèses tréso.'!C4+'CDR mensuel'!H3*'Hypothèses tréso.'!D4+'CDR mensuel'!G3*'Hypothèses tréso.'!E4)*(1+'Hypothèses tréso.'!#REF!)</f>
        <v>#REF!</v>
      </c>
      <c r="J4" s="229" t="e">
        <f>+('CDR mensuel'!J3*'Hypothèses tréso.'!C4+'CDR mensuel'!I3*'Hypothèses tréso.'!D4+'CDR mensuel'!H3*'Hypothèses tréso.'!E4)*(1+'Hypothèses tréso.'!#REF!)</f>
        <v>#REF!</v>
      </c>
      <c r="K4" s="229" t="e">
        <f>+('CDR mensuel'!K3*'Hypothèses tréso.'!C4+'CDR mensuel'!J3*'Hypothèses tréso.'!D4+'CDR mensuel'!I3*'Hypothèses tréso.'!E4)*(1+'Hypothèses tréso.'!#REF!)</f>
        <v>#REF!</v>
      </c>
      <c r="L4" s="229" t="e">
        <f>+('CDR mensuel'!L3*'Hypothèses tréso.'!C4+'CDR mensuel'!K3*'Hypothèses tréso.'!D4+'CDR mensuel'!J3*'Hypothèses tréso.'!E4)*(1+'Hypothèses tréso.'!#REF!)</f>
        <v>#REF!</v>
      </c>
      <c r="M4" s="229" t="e">
        <f>+('CDR mensuel'!M3*'Hypothèses tréso.'!C4+'CDR mensuel'!L3*'Hypothèses tréso.'!D4+'CDR mensuel'!K3*'Hypothèses tréso.'!E4)*(1+'Hypothèses tréso.'!#REF!)</f>
        <v>#REF!</v>
      </c>
    </row>
    <row r="5" spans="1:16">
      <c r="A5" s="227" t="s">
        <v>170</v>
      </c>
      <c r="B5" s="230">
        <f>+'Hypothèses tréso.'!B8*'Hypothèses tréso.'!C8</f>
        <v>770.69303000000014</v>
      </c>
      <c r="C5" s="229" t="e">
        <f>2997.5-C4</f>
        <v>#REF!</v>
      </c>
      <c r="D5" s="229">
        <v>750</v>
      </c>
      <c r="E5" s="229">
        <v>776</v>
      </c>
      <c r="F5" s="229">
        <f>1526.3-600</f>
        <v>926.3</v>
      </c>
      <c r="G5" s="229">
        <f>1526.3-600</f>
        <v>926.3</v>
      </c>
      <c r="H5" s="228">
        <v>0</v>
      </c>
      <c r="I5" s="228">
        <v>0</v>
      </c>
      <c r="J5" s="228">
        <v>0</v>
      </c>
      <c r="K5" s="228">
        <v>0</v>
      </c>
      <c r="L5" s="228">
        <v>0</v>
      </c>
      <c r="M5" s="228">
        <v>0</v>
      </c>
    </row>
    <row r="6" spans="1:16">
      <c r="A6" s="227" t="s">
        <v>232</v>
      </c>
      <c r="B6" s="230">
        <v>328</v>
      </c>
      <c r="C6" s="228">
        <v>0</v>
      </c>
      <c r="D6" s="228">
        <v>0</v>
      </c>
      <c r="E6" s="228">
        <v>0</v>
      </c>
      <c r="F6" s="228">
        <v>0</v>
      </c>
      <c r="G6" s="228">
        <v>0</v>
      </c>
      <c r="H6" s="228">
        <v>0</v>
      </c>
      <c r="I6" s="228">
        <v>0</v>
      </c>
      <c r="J6" s="228">
        <v>0</v>
      </c>
      <c r="K6" s="228">
        <v>0</v>
      </c>
      <c r="L6" s="228">
        <v>0</v>
      </c>
      <c r="M6" s="228">
        <v>0</v>
      </c>
    </row>
    <row r="7" spans="1:16" ht="3.5" customHeight="1">
      <c r="A7" s="225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</row>
    <row r="8" spans="1:16">
      <c r="A8" s="223" t="s">
        <v>171</v>
      </c>
      <c r="B8" s="224" t="e">
        <f>SUM(B4:B7)</f>
        <v>#REF!</v>
      </c>
      <c r="C8" s="224" t="e">
        <f>SUM(C4:C7)</f>
        <v>#REF!</v>
      </c>
      <c r="D8" s="224" t="e">
        <f t="shared" ref="D8:M8" si="1">SUM(D4:D7)</f>
        <v>#REF!</v>
      </c>
      <c r="E8" s="224" t="e">
        <f t="shared" si="1"/>
        <v>#REF!</v>
      </c>
      <c r="F8" s="224" t="e">
        <f t="shared" si="1"/>
        <v>#REF!</v>
      </c>
      <c r="G8" s="224" t="e">
        <f t="shared" si="1"/>
        <v>#REF!</v>
      </c>
      <c r="H8" s="224" t="e">
        <f t="shared" si="1"/>
        <v>#REF!</v>
      </c>
      <c r="I8" s="224" t="e">
        <f t="shared" si="1"/>
        <v>#REF!</v>
      </c>
      <c r="J8" s="224" t="e">
        <f t="shared" si="1"/>
        <v>#REF!</v>
      </c>
      <c r="K8" s="224" t="e">
        <f t="shared" si="1"/>
        <v>#REF!</v>
      </c>
      <c r="L8" s="224" t="e">
        <f t="shared" si="1"/>
        <v>#REF!</v>
      </c>
      <c r="M8" s="224" t="e">
        <f t="shared" si="1"/>
        <v>#REF!</v>
      </c>
    </row>
    <row r="9" spans="1:16" s="235" customFormat="1">
      <c r="A9" s="231" t="s">
        <v>172</v>
      </c>
      <c r="B9" s="232">
        <f>(-365086.95-194383.53-4496-754.89)/1000</f>
        <v>-564.72136999999998</v>
      </c>
      <c r="C9" s="232">
        <v>-665.9</v>
      </c>
      <c r="D9" s="232">
        <f>+'Hypothèses tréso.'!$B$11*'Hypothèses tréso.'!E11</f>
        <v>-1336.4500303057803</v>
      </c>
      <c r="E9" s="232">
        <f>+'Hypothèses tréso.'!$B$11*'Hypothèses tréso.'!F11</f>
        <v>-1288.1161998410805</v>
      </c>
      <c r="F9" s="232">
        <f>+'Hypothèses tréso.'!$B$11*'Hypothèses tréso.'!G11</f>
        <v>-557.13540756988459</v>
      </c>
      <c r="G9" s="232">
        <f>+'Hypothèses tréso.'!$B$11*'Hypothèses tréso.'!H11</f>
        <v>-285.15469800987995</v>
      </c>
      <c r="H9" s="232">
        <f>+'Hypothèses tréso.'!$B$11*'Hypothèses tréso.'!I11</f>
        <v>-71.018130565015952</v>
      </c>
      <c r="I9" s="233">
        <v>0</v>
      </c>
      <c r="J9" s="233">
        <v>0</v>
      </c>
      <c r="K9" s="233">
        <v>0</v>
      </c>
      <c r="L9" s="233">
        <v>0</v>
      </c>
      <c r="M9" s="233">
        <v>0</v>
      </c>
      <c r="N9" s="234"/>
      <c r="O9" s="234"/>
      <c r="P9" s="234"/>
    </row>
    <row r="10" spans="1:16" ht="3.5" customHeight="1">
      <c r="A10" s="225"/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</row>
    <row r="11" spans="1:16">
      <c r="A11" s="236" t="s">
        <v>2</v>
      </c>
      <c r="B11" s="228">
        <v>0</v>
      </c>
      <c r="C11" s="228" t="e">
        <f>+('CDR mensuel'!C9*'Hypothèses tréso.'!C13+'CDR mensuel'!B9*'Hypothèses tréso.'!D13)*(1+'Hypothèses tréso.'!#REF!)</f>
        <v>#REF!</v>
      </c>
      <c r="D11" s="228" t="e">
        <f>+('CDR mensuel'!D9*'Hypothèses tréso.'!C13+'CDR mensuel'!C9*'Hypothèses tréso.'!D13+'CDR mensuel'!B9*'Hypothèses tréso.'!E13)*(1+'Hypothèses tréso.'!#REF!)</f>
        <v>#REF!</v>
      </c>
      <c r="E11" s="229" t="e">
        <f>+('CDR mensuel'!B9*'Hypothèses tréso.'!F13+'CDR mensuel'!C9*'Hypothèses tréso.'!E13+'CDR mensuel'!D9*'Hypothèses tréso.'!D13+'CDR mensuel'!E9*'Hypothèses tréso.'!C13)*(1+'Hypothèses tréso.'!#REF!)</f>
        <v>#REF!</v>
      </c>
      <c r="F11" s="229" t="e">
        <f>+('CDR mensuel'!F9*'Hypothèses tréso.'!C13+'CDR mensuel'!E9*'Hypothèses tréso.'!D13+'CDR mensuel'!D9*'Hypothèses tréso.'!E13+'CDR mensuel'!C9*'Hypothèses tréso.'!F13)*(1+'Hypothèses tréso.'!#REF!)</f>
        <v>#REF!</v>
      </c>
      <c r="G11" s="228" t="e">
        <f>+('CDR mensuel'!G9*'Hypothèses tréso.'!C13+'CDR mensuel'!F9*'Hypothèses tréso.'!D13+'CDR mensuel'!E9*'Hypothèses tréso.'!E13+'CDR mensuel'!D9*'Hypothèses tréso.'!F13)*(1+'Hypothèses tréso.'!#REF!)</f>
        <v>#REF!</v>
      </c>
      <c r="H11" s="229" t="e">
        <f>+('CDR mensuel'!H9*'Hypothèses tréso.'!C13+'CDR mensuel'!G9*'Hypothèses tréso.'!D13+'CDR mensuel'!F9*'Hypothèses tréso.'!E13+'CDR mensuel'!E9*'Hypothèses tréso.'!F13)*(1+'Hypothèses tréso.'!#REF!)</f>
        <v>#REF!</v>
      </c>
      <c r="I11" s="228" t="e">
        <f>+('CDR mensuel'!I9*'Hypothèses tréso.'!C13+'CDR mensuel'!H9*'Hypothèses tréso.'!D13+'CDR mensuel'!G9*'Hypothèses tréso.'!E13+'CDR mensuel'!F9*'Hypothèses tréso.'!F13)*(1+'Hypothèses tréso.'!#REF!)</f>
        <v>#REF!</v>
      </c>
      <c r="J11" s="228">
        <f>+('CDR mensuel'!J9*'Hypothèses tréso.'!C13+'CDR mensuel'!I9*'Hypothèses tréso.'!D13+'CDR mensuel'!H9*'Hypothèses tréso.'!E13+'CDR mensuel'!G9*'Hypothèses tréso.'!F13)*(1+N11)</f>
        <v>0</v>
      </c>
      <c r="K11" s="229" t="e">
        <f>+('CDR mensuel'!K9*'Hypothèses tréso.'!C13+'CDR mensuel'!J9*'Hypothèses tréso.'!D13+'CDR mensuel'!I9*'Hypothèses tréso.'!E13+'CDR mensuel'!H9*'Hypothèses tréso.'!F13)*(1+'Hypothèses tréso.'!#REF!)</f>
        <v>#REF!</v>
      </c>
      <c r="L11" s="229" t="e">
        <f>+('CDR mensuel'!L9*'Hypothèses tréso.'!C13+'CDR mensuel'!K9*'Hypothèses tréso.'!D13+'CDR mensuel'!J9*'Hypothèses tréso.'!E13+'CDR mensuel'!I9*'Hypothèses tréso.'!F13)*(1+'Hypothèses tréso.'!#REF!)</f>
        <v>#REF!</v>
      </c>
      <c r="M11" s="228" t="e">
        <f>+('CDR mensuel'!M9*'Hypothèses tréso.'!C13+'CDR mensuel'!L9*'Hypothèses tréso.'!D13+'CDR mensuel'!K9*'Hypothèses tréso.'!E13+'CDR mensuel'!J9*'Hypothèses tréso.'!F13)*(1+'Hypothèses tréso.'!#REF!)</f>
        <v>#REF!</v>
      </c>
      <c r="N11" s="183"/>
    </row>
    <row r="12" spans="1:16">
      <c r="A12" s="236" t="s">
        <v>93</v>
      </c>
      <c r="B12" s="228">
        <v>0</v>
      </c>
      <c r="C12" s="229">
        <v>-507.2</v>
      </c>
      <c r="D12" s="229" t="e">
        <f>+('CDR mensuel'!D10*'Hypothèses tréso.'!C14+'CDR mensuel'!C10*'Hypothèses tréso.'!D14+'CDR mensuel'!B10*'Hypothèses tréso.'!E14)*(1+'Hypothèses tréso.'!#REF!)</f>
        <v>#REF!</v>
      </c>
      <c r="E12" s="229" t="e">
        <f>+('CDR mensuel'!B10*'Hypothèses tréso.'!F14+'CDR mensuel'!C10*'Hypothèses tréso.'!E14+'CDR mensuel'!D10*'Hypothèses tréso.'!D14+'CDR mensuel'!E10*'Hypothèses tréso.'!C14)*(1+'Hypothèses tréso.'!#REF!)</f>
        <v>#REF!</v>
      </c>
      <c r="F12" s="229" t="e">
        <f>+('CDR mensuel'!F10*'Hypothèses tréso.'!C14+'CDR mensuel'!E10*'Hypothèses tréso.'!D14+'CDR mensuel'!D10*'Hypothèses tréso.'!E14+'CDR mensuel'!C10*'Hypothèses tréso.'!F14)*(1+'Hypothèses tréso.'!#REF!)</f>
        <v>#REF!</v>
      </c>
      <c r="G12" s="229" t="e">
        <f>+('CDR mensuel'!G10*'Hypothèses tréso.'!C14+'CDR mensuel'!F10*'Hypothèses tréso.'!D14+'CDR mensuel'!E10*'Hypothèses tréso.'!E14+'CDR mensuel'!D10*'Hypothèses tréso.'!F14)*(1+'Hypothèses tréso.'!#REF!)</f>
        <v>#REF!</v>
      </c>
      <c r="H12" s="229" t="e">
        <f>+('CDR mensuel'!H10*'Hypothèses tréso.'!C14+'CDR mensuel'!G10*'Hypothèses tréso.'!D14+'CDR mensuel'!F10*'Hypothèses tréso.'!E14+'CDR mensuel'!E10*'Hypothèses tréso.'!F14)*(1+'Hypothèses tréso.'!#REF!)</f>
        <v>#REF!</v>
      </c>
      <c r="I12" s="229" t="e">
        <f>+('CDR mensuel'!I10*'Hypothèses tréso.'!C14+'CDR mensuel'!H10*'Hypothèses tréso.'!D14+'CDR mensuel'!G10*'Hypothèses tréso.'!E14+'CDR mensuel'!F10*'Hypothèses tréso.'!F14)*(1+'Hypothèses tréso.'!#REF!)</f>
        <v>#REF!</v>
      </c>
      <c r="J12" s="229">
        <f>+('CDR mensuel'!J10*'Hypothèses tréso.'!C14+'CDR mensuel'!I10*'Hypothèses tréso.'!D14+'CDR mensuel'!H10*'Hypothèses tréso.'!E14+'CDR mensuel'!G10*'Hypothèses tréso.'!F14)*(1+N12)</f>
        <v>-571.7868175537036</v>
      </c>
      <c r="K12" s="229" t="e">
        <f>+('CDR mensuel'!K10*'Hypothèses tréso.'!C14+'CDR mensuel'!J10*'Hypothèses tréso.'!D14+'CDR mensuel'!I10*'Hypothèses tréso.'!E14+'CDR mensuel'!H10*'Hypothèses tréso.'!F14)*(1+'Hypothèses tréso.'!#REF!)</f>
        <v>#REF!</v>
      </c>
      <c r="L12" s="229" t="e">
        <f>+('CDR mensuel'!L10*'Hypothèses tréso.'!C14+'CDR mensuel'!K10*'Hypothèses tréso.'!D14+'CDR mensuel'!J10*'Hypothèses tréso.'!E14+'CDR mensuel'!I10*'Hypothèses tréso.'!F14)*(1+'Hypothèses tréso.'!#REF!)</f>
        <v>#REF!</v>
      </c>
      <c r="M12" s="229" t="e">
        <f>+('CDR mensuel'!M10*'Hypothèses tréso.'!C14+'CDR mensuel'!L10*'Hypothèses tréso.'!D14+'CDR mensuel'!K10*'Hypothèses tréso.'!E14+'CDR mensuel'!J10*'Hypothèses tréso.'!F14)*(1+'Hypothèses tréso.'!#REF!)</f>
        <v>#REF!</v>
      </c>
      <c r="N12" s="183"/>
    </row>
    <row r="13" spans="1:16">
      <c r="A13" s="236" t="s">
        <v>95</v>
      </c>
      <c r="B13" s="228">
        <v>0</v>
      </c>
      <c r="C13" s="228" t="e">
        <f>+('CDR mensuel'!C11*'Hypothèses tréso.'!C15+'CDR mensuel'!B11*'Hypothèses tréso.'!D15)*(1+'Hypothèses tréso.'!#REF!)</f>
        <v>#REF!</v>
      </c>
      <c r="D13" s="229" t="e">
        <f>+('CDR mensuel'!D11*'Hypothèses tréso.'!C15+'CDR mensuel'!C11*'Hypothèses tréso.'!D15+'CDR mensuel'!B11*'Hypothèses tréso.'!E15)*(1+'Hypothèses tréso.'!#REF!)</f>
        <v>#REF!</v>
      </c>
      <c r="E13" s="229" t="e">
        <f>+('CDR mensuel'!B11*'Hypothèses tréso.'!F15+'CDR mensuel'!C11*'Hypothèses tréso.'!E15+'CDR mensuel'!D11*'Hypothèses tréso.'!D15+'CDR mensuel'!E11*'Hypothèses tréso.'!C15)*(1+'Hypothèses tréso.'!#REF!)</f>
        <v>#REF!</v>
      </c>
      <c r="F13" s="229" t="e">
        <f>+('CDR mensuel'!F11*'Hypothèses tréso.'!C15+'CDR mensuel'!E11*'Hypothèses tréso.'!D15+'CDR mensuel'!D11*'Hypothèses tréso.'!E15+'CDR mensuel'!C11*'Hypothèses tréso.'!F15)*(1+'Hypothèses tréso.'!#REF!)</f>
        <v>#REF!</v>
      </c>
      <c r="G13" s="229" t="e">
        <f>+('CDR mensuel'!G11*'Hypothèses tréso.'!C15+'CDR mensuel'!F11*'Hypothèses tréso.'!D15+'CDR mensuel'!E11*'Hypothèses tréso.'!E15+'CDR mensuel'!D11*'Hypothèses tréso.'!F15)*(1+'Hypothèses tréso.'!#REF!)</f>
        <v>#REF!</v>
      </c>
      <c r="H13" s="229" t="e">
        <f>+('CDR mensuel'!H11*'Hypothèses tréso.'!C15+'CDR mensuel'!G11*'Hypothèses tréso.'!D15+'CDR mensuel'!F11*'Hypothèses tréso.'!E15+'CDR mensuel'!E11*'Hypothèses tréso.'!F15)*(1+'Hypothèses tréso.'!#REF!)</f>
        <v>#REF!</v>
      </c>
      <c r="I13" s="229" t="e">
        <f>+('CDR mensuel'!I11*'Hypothèses tréso.'!C15+'CDR mensuel'!H11*'Hypothèses tréso.'!D15+'CDR mensuel'!G11*'Hypothèses tréso.'!E15+'CDR mensuel'!F11*'Hypothèses tréso.'!F15)*(1+'Hypothèses tréso.'!#REF!)</f>
        <v>#REF!</v>
      </c>
      <c r="J13" s="229">
        <f>+('CDR mensuel'!J11*'Hypothèses tréso.'!C15+'CDR mensuel'!I11*'Hypothèses tréso.'!D15+'CDR mensuel'!H11*'Hypothèses tréso.'!E15+'CDR mensuel'!G11*'Hypothèses tréso.'!F15)*(1+N13)</f>
        <v>-32.570879509282229</v>
      </c>
      <c r="K13" s="229" t="e">
        <f>+('CDR mensuel'!K11*'Hypothèses tréso.'!C15+'CDR mensuel'!J11*'Hypothèses tréso.'!D15+'CDR mensuel'!I11*'Hypothèses tréso.'!E15+'CDR mensuel'!H11*'Hypothèses tréso.'!F15)*(1+'Hypothèses tréso.'!#REF!)</f>
        <v>#REF!</v>
      </c>
      <c r="L13" s="229" t="e">
        <f>+('CDR mensuel'!L11*'Hypothèses tréso.'!C15+'CDR mensuel'!K11*'Hypothèses tréso.'!D15+'CDR mensuel'!J11*'Hypothèses tréso.'!E15+'CDR mensuel'!I11*'Hypothèses tréso.'!F15)*(1+'Hypothèses tréso.'!#REF!)</f>
        <v>#REF!</v>
      </c>
      <c r="M13" s="229" t="e">
        <f>+('CDR mensuel'!M11*'Hypothèses tréso.'!C15+'CDR mensuel'!L11*'Hypothèses tréso.'!D15+'CDR mensuel'!K11*'Hypothèses tréso.'!E15+'CDR mensuel'!J11*'Hypothèses tréso.'!F15)*(1+'Hypothèses tréso.'!#REF!)</f>
        <v>#REF!</v>
      </c>
      <c r="N13" s="183"/>
    </row>
    <row r="14" spans="1:16">
      <c r="A14" s="236" t="s">
        <v>3</v>
      </c>
      <c r="B14" s="228">
        <v>0</v>
      </c>
      <c r="C14" s="229" t="e">
        <f>+('CDR mensuel'!C12*'Hypothèses tréso.'!C16+'CDR mensuel'!B12*'Hypothèses tréso.'!D16)*(1+'Hypothèses tréso.'!#REF!)</f>
        <v>#REF!</v>
      </c>
      <c r="D14" s="229" t="e">
        <f>+('CDR mensuel'!D12*'Hypothèses tréso.'!C16+'CDR mensuel'!C12*'Hypothèses tréso.'!D16+'CDR mensuel'!B12*'Hypothèses tréso.'!E16)*(1+'Hypothèses tréso.'!#REF!)</f>
        <v>#REF!</v>
      </c>
      <c r="E14" s="229" t="e">
        <f>+('CDR mensuel'!B12*'Hypothèses tréso.'!F16+'CDR mensuel'!C12*'Hypothèses tréso.'!E16+'CDR mensuel'!D12*'Hypothèses tréso.'!D16+'CDR mensuel'!E12*'Hypothèses tréso.'!C16)*(1+'Hypothèses tréso.'!#REF!)</f>
        <v>#REF!</v>
      </c>
      <c r="F14" s="229" t="e">
        <f>+('CDR mensuel'!F12*'Hypothèses tréso.'!C16+'CDR mensuel'!E12*'Hypothèses tréso.'!D16+'CDR mensuel'!D12*'Hypothèses tréso.'!E16+'CDR mensuel'!C12*'Hypothèses tréso.'!F16)*(1+'Hypothèses tréso.'!#REF!)</f>
        <v>#REF!</v>
      </c>
      <c r="G14" s="229" t="e">
        <f>+('CDR mensuel'!G12*'Hypothèses tréso.'!C16+'CDR mensuel'!F12*'Hypothèses tréso.'!D16+'CDR mensuel'!E12*'Hypothèses tréso.'!E16+'CDR mensuel'!D12*'Hypothèses tréso.'!F16)*(1+'Hypothèses tréso.'!#REF!)</f>
        <v>#REF!</v>
      </c>
      <c r="H14" s="229" t="e">
        <f>+('CDR mensuel'!H12*'Hypothèses tréso.'!C16+'CDR mensuel'!G12*'Hypothèses tréso.'!D16+'CDR mensuel'!F12*'Hypothèses tréso.'!E16+'CDR mensuel'!E12*'Hypothèses tréso.'!F16)*(1+'Hypothèses tréso.'!#REF!)</f>
        <v>#REF!</v>
      </c>
      <c r="I14" s="229" t="e">
        <f>+('CDR mensuel'!I12*'Hypothèses tréso.'!C16+'CDR mensuel'!H12*'Hypothèses tréso.'!D16+'CDR mensuel'!G12*'Hypothèses tréso.'!E16+'CDR mensuel'!F12*'Hypothèses tréso.'!F16)*(1+'Hypothèses tréso.'!#REF!)</f>
        <v>#REF!</v>
      </c>
      <c r="J14" s="229">
        <f>+('CDR mensuel'!J12*'Hypothèses tréso.'!C16+'CDR mensuel'!I12*'Hypothèses tréso.'!D16+'CDR mensuel'!H12*'Hypothèses tréso.'!E16+'CDR mensuel'!G12*'Hypothèses tréso.'!F16)*(1+N14)</f>
        <v>-17.599999999999998</v>
      </c>
      <c r="K14" s="229" t="e">
        <f>+('CDR mensuel'!K12*'Hypothèses tréso.'!C16+'CDR mensuel'!J12*'Hypothèses tréso.'!D16+'CDR mensuel'!I12*'Hypothèses tréso.'!E16+'CDR mensuel'!H12*'Hypothèses tréso.'!F16)*(1+'Hypothèses tréso.'!#REF!)</f>
        <v>#REF!</v>
      </c>
      <c r="L14" s="229" t="e">
        <f>+('CDR mensuel'!L12*'Hypothèses tréso.'!C16+'CDR mensuel'!K12*'Hypothèses tréso.'!D16+'CDR mensuel'!J12*'Hypothèses tréso.'!E16+'CDR mensuel'!I12*'Hypothèses tréso.'!F16)*(1+'Hypothèses tréso.'!#REF!)</f>
        <v>#REF!</v>
      </c>
      <c r="M14" s="229" t="e">
        <f>+('CDR mensuel'!M12*'Hypothèses tréso.'!C16+'CDR mensuel'!L12*'Hypothèses tréso.'!D16+'CDR mensuel'!K12*'Hypothèses tréso.'!E16+'CDR mensuel'!J12*'Hypothèses tréso.'!F16)*(1+'Hypothèses tréso.'!#REF!)</f>
        <v>#REF!</v>
      </c>
      <c r="N14" s="183"/>
    </row>
    <row r="15" spans="1:16">
      <c r="A15" s="236" t="s">
        <v>4</v>
      </c>
      <c r="B15" s="228">
        <v>0</v>
      </c>
      <c r="C15" s="229" t="e">
        <f>+('CDR mensuel'!C13*'Hypothèses tréso.'!C17+'CDR mensuel'!B13*'Hypothèses tréso.'!D17)*(1+'Hypothèses tréso.'!#REF!)</f>
        <v>#REF!</v>
      </c>
      <c r="D15" s="229" t="e">
        <f>+('CDR mensuel'!D13*'Hypothèses tréso.'!C17+'CDR mensuel'!C13*'Hypothèses tréso.'!D17+'CDR mensuel'!B13*'Hypothèses tréso.'!E17)*(1+'Hypothèses tréso.'!#REF!)</f>
        <v>#REF!</v>
      </c>
      <c r="E15" s="229" t="e">
        <f>+('CDR mensuel'!B13*'Hypothèses tréso.'!F17+'CDR mensuel'!C13*'Hypothèses tréso.'!E17+'CDR mensuel'!D13*'Hypothèses tréso.'!D17+'CDR mensuel'!E13*'Hypothèses tréso.'!C17)*(1+'Hypothèses tréso.'!#REF!)</f>
        <v>#REF!</v>
      </c>
      <c r="F15" s="229" t="e">
        <f>+('CDR mensuel'!F13*'Hypothèses tréso.'!C17+'CDR mensuel'!E13*'Hypothèses tréso.'!D17+'CDR mensuel'!D13*'Hypothèses tréso.'!E17+'CDR mensuel'!C13*'Hypothèses tréso.'!F17)*(1+'Hypothèses tréso.'!#REF!)</f>
        <v>#REF!</v>
      </c>
      <c r="G15" s="229" t="e">
        <f>+('CDR mensuel'!G13*'Hypothèses tréso.'!C17+'CDR mensuel'!F13*'Hypothèses tréso.'!D17+'CDR mensuel'!E13*'Hypothèses tréso.'!E17+'CDR mensuel'!D13*'Hypothèses tréso.'!F17)*(1+'Hypothèses tréso.'!#REF!)</f>
        <v>#REF!</v>
      </c>
      <c r="H15" s="229" t="e">
        <f>+('CDR mensuel'!H13*'Hypothèses tréso.'!C17+'CDR mensuel'!G13*'Hypothèses tréso.'!D17+'CDR mensuel'!F13*'Hypothèses tréso.'!E17+'CDR mensuel'!E13*'Hypothèses tréso.'!F17)*(1+'Hypothèses tréso.'!#REF!)</f>
        <v>#REF!</v>
      </c>
      <c r="I15" s="229" t="e">
        <f>+('CDR mensuel'!I13*'Hypothèses tréso.'!C17+'CDR mensuel'!H13*'Hypothèses tréso.'!D17+'CDR mensuel'!G13*'Hypothèses tréso.'!E17+'CDR mensuel'!F13*'Hypothèses tréso.'!F17)*(1+'Hypothèses tréso.'!#REF!)</f>
        <v>#REF!</v>
      </c>
      <c r="J15" s="229">
        <f>+('CDR mensuel'!J13*'Hypothèses tréso.'!C17+'CDR mensuel'!I13*'Hypothèses tréso.'!D17+'CDR mensuel'!H13*'Hypothèses tréso.'!E17+'CDR mensuel'!G13*'Hypothèses tréso.'!F17)*(1+N15)</f>
        <v>-121.97358999999997</v>
      </c>
      <c r="K15" s="229" t="e">
        <f>+('CDR mensuel'!K13*'Hypothèses tréso.'!C17+'CDR mensuel'!J13*'Hypothèses tréso.'!D17+'CDR mensuel'!I13*'Hypothèses tréso.'!E17+'CDR mensuel'!H13*'Hypothèses tréso.'!F17)*(1+'Hypothèses tréso.'!#REF!)</f>
        <v>#REF!</v>
      </c>
      <c r="L15" s="229" t="e">
        <f>+('CDR mensuel'!L13*'Hypothèses tréso.'!C17+'CDR mensuel'!K13*'Hypothèses tréso.'!D17+'CDR mensuel'!J13*'Hypothèses tréso.'!E17+'CDR mensuel'!I13*'Hypothèses tréso.'!F17)*(1+'Hypothèses tréso.'!#REF!)</f>
        <v>#REF!</v>
      </c>
      <c r="M15" s="229" t="e">
        <f>+('CDR mensuel'!M13*'Hypothèses tréso.'!C17+'CDR mensuel'!L13*'Hypothèses tréso.'!D17+'CDR mensuel'!K13*'Hypothèses tréso.'!E17+'CDR mensuel'!J13*'Hypothèses tréso.'!F17)*(1+'Hypothèses tréso.'!#REF!)</f>
        <v>#REF!</v>
      </c>
      <c r="N15" s="237"/>
    </row>
    <row r="16" spans="1:16">
      <c r="A16" s="236" t="s">
        <v>5</v>
      </c>
      <c r="B16" s="228">
        <v>0</v>
      </c>
      <c r="C16" s="228" t="e">
        <f>+('CDR mensuel'!C14*'Hypothèses tréso.'!C18+'CDR mensuel'!B14*'Hypothèses tréso.'!D18)*(1+'Hypothèses tréso.'!#REF!)</f>
        <v>#REF!</v>
      </c>
      <c r="D16" s="229" t="e">
        <f>+('CDR mensuel'!D14*'Hypothèses tréso.'!C18+'CDR mensuel'!C14*'Hypothèses tréso.'!D18+'CDR mensuel'!B14*'Hypothèses tréso.'!E18)*(1+'Hypothèses tréso.'!#REF!)</f>
        <v>#REF!</v>
      </c>
      <c r="E16" s="229" t="e">
        <f>+('CDR mensuel'!B14*'Hypothèses tréso.'!F18+'CDR mensuel'!C14*'Hypothèses tréso.'!E18+'CDR mensuel'!D14*'Hypothèses tréso.'!D18+'CDR mensuel'!E14*'Hypothèses tréso.'!C18)*(1+'Hypothèses tréso.'!#REF!)</f>
        <v>#REF!</v>
      </c>
      <c r="F16" s="229" t="e">
        <f>+('CDR mensuel'!F14*'Hypothèses tréso.'!C18+'CDR mensuel'!E14*'Hypothèses tréso.'!D18+'CDR mensuel'!D14*'Hypothèses tréso.'!E18+'CDR mensuel'!C14*'Hypothèses tréso.'!F18)*(1+'Hypothèses tréso.'!#REF!)</f>
        <v>#REF!</v>
      </c>
      <c r="G16" s="229" t="e">
        <f>+('CDR mensuel'!G14*'Hypothèses tréso.'!C18+'CDR mensuel'!F14*'Hypothèses tréso.'!D18+'CDR mensuel'!E14*'Hypothèses tréso.'!E18+'CDR mensuel'!D14*'Hypothèses tréso.'!F18)*(1+'Hypothèses tréso.'!#REF!)</f>
        <v>#REF!</v>
      </c>
      <c r="H16" s="229" t="e">
        <f>+('CDR mensuel'!H14*'Hypothèses tréso.'!C18+'CDR mensuel'!G14*'Hypothèses tréso.'!D18+'CDR mensuel'!F14*'Hypothèses tréso.'!E18+'CDR mensuel'!E14*'Hypothèses tréso.'!F18)*(1+'Hypothèses tréso.'!#REF!)</f>
        <v>#REF!</v>
      </c>
      <c r="I16" s="229" t="e">
        <f>+('CDR mensuel'!I14*'Hypothèses tréso.'!C18+'CDR mensuel'!H14*'Hypothèses tréso.'!D18+'CDR mensuel'!G14*'Hypothèses tréso.'!E18+'CDR mensuel'!F14*'Hypothèses tréso.'!F18)*(1+'Hypothèses tréso.'!#REF!)</f>
        <v>#REF!</v>
      </c>
      <c r="J16" s="229">
        <f>+('CDR mensuel'!J14*'Hypothèses tréso.'!C18+'CDR mensuel'!I14*'Hypothèses tréso.'!D18+'CDR mensuel'!H14*'Hypothèses tréso.'!E18+'CDR mensuel'!G14*'Hypothèses tréso.'!F18)*(1+N16)</f>
        <v>-3.7917031934877898</v>
      </c>
      <c r="K16" s="229" t="e">
        <f>+('CDR mensuel'!K14*'Hypothèses tréso.'!C18+'CDR mensuel'!J14*'Hypothèses tréso.'!D18+'CDR mensuel'!I14*'Hypothèses tréso.'!E18+'CDR mensuel'!H14*'Hypothèses tréso.'!F18)*(1+'Hypothèses tréso.'!#REF!)</f>
        <v>#REF!</v>
      </c>
      <c r="L16" s="229" t="e">
        <f>+('CDR mensuel'!L14*'Hypothèses tréso.'!C18+'CDR mensuel'!K14*'Hypothèses tréso.'!D18+'CDR mensuel'!J14*'Hypothèses tréso.'!E18+'CDR mensuel'!I14*'Hypothèses tréso.'!F18)*(1+'Hypothèses tréso.'!#REF!)</f>
        <v>#REF!</v>
      </c>
      <c r="M16" s="229" t="e">
        <f>+('CDR mensuel'!M14*'Hypothèses tréso.'!C18+'CDR mensuel'!L14*'Hypothèses tréso.'!D18+'CDR mensuel'!K14*'Hypothèses tréso.'!E18+'CDR mensuel'!J14*'Hypothèses tréso.'!F18)*(1+'Hypothèses tréso.'!#REF!)</f>
        <v>#REF!</v>
      </c>
      <c r="N16" s="183"/>
    </row>
    <row r="17" spans="1:16">
      <c r="A17" s="236" t="s">
        <v>6</v>
      </c>
      <c r="B17" s="228">
        <v>0</v>
      </c>
      <c r="C17" s="229" t="e">
        <f>+('CDR mensuel'!C15*'Hypothèses tréso.'!C19+'CDR mensuel'!B15*'Hypothèses tréso.'!D19)*(1+'Hypothèses tréso.'!#REF!)</f>
        <v>#REF!</v>
      </c>
      <c r="D17" s="229" t="e">
        <f>+('CDR mensuel'!D15*'Hypothèses tréso.'!C19+'CDR mensuel'!C15*'Hypothèses tréso.'!D19+'CDR mensuel'!B15*'Hypothèses tréso.'!E19)*(1+'Hypothèses tréso.'!#REF!)</f>
        <v>#REF!</v>
      </c>
      <c r="E17" s="229" t="e">
        <f>+('CDR mensuel'!B15*'Hypothèses tréso.'!F19+'CDR mensuel'!C15*'Hypothèses tréso.'!E19+'CDR mensuel'!D15*'Hypothèses tréso.'!D19+'CDR mensuel'!E15*'Hypothèses tréso.'!C19)*(1+'Hypothèses tréso.'!#REF!)</f>
        <v>#REF!</v>
      </c>
      <c r="F17" s="229" t="e">
        <f>+('CDR mensuel'!F15*'Hypothèses tréso.'!C19+'CDR mensuel'!E15*'Hypothèses tréso.'!D19+'CDR mensuel'!D15*'Hypothèses tréso.'!E19+'CDR mensuel'!C15*'Hypothèses tréso.'!F19)*(1+'Hypothèses tréso.'!#REF!)</f>
        <v>#REF!</v>
      </c>
      <c r="G17" s="229" t="e">
        <f>+('CDR mensuel'!G15*'Hypothèses tréso.'!C19+'CDR mensuel'!F15*'Hypothèses tréso.'!D19+'CDR mensuel'!E15*'Hypothèses tréso.'!E19+'CDR mensuel'!D15*'Hypothèses tréso.'!F19)*(1+'Hypothèses tréso.'!#REF!)</f>
        <v>#REF!</v>
      </c>
      <c r="H17" s="229" t="e">
        <f>+('CDR mensuel'!H15*'Hypothèses tréso.'!C19+'CDR mensuel'!G15*'Hypothèses tréso.'!D19+'CDR mensuel'!F15*'Hypothèses tréso.'!E19+'CDR mensuel'!E15*'Hypothèses tréso.'!F19)*(1+'Hypothèses tréso.'!#REF!)</f>
        <v>#REF!</v>
      </c>
      <c r="I17" s="228" t="e">
        <f>+('CDR mensuel'!I15*'Hypothèses tréso.'!C19+'CDR mensuel'!H15*'Hypothèses tréso.'!D19+'CDR mensuel'!G15*'Hypothèses tréso.'!E19+'CDR mensuel'!F15*'Hypothèses tréso.'!F19)*(1+'Hypothèses tréso.'!#REF!)</f>
        <v>#REF!</v>
      </c>
      <c r="J17" s="228">
        <f>+('CDR mensuel'!J15*'Hypothèses tréso.'!C19+'CDR mensuel'!I15*'Hypothèses tréso.'!D19+'CDR mensuel'!H15*'Hypothèses tréso.'!E19+'CDR mensuel'!G15*'Hypothèses tréso.'!F19)*(1+N17)</f>
        <v>0</v>
      </c>
      <c r="K17" s="229" t="e">
        <f>+('CDR mensuel'!K15*'Hypothèses tréso.'!C19+'CDR mensuel'!J15*'Hypothèses tréso.'!D19+'CDR mensuel'!I15*'Hypothèses tréso.'!E19+'CDR mensuel'!H15*'Hypothèses tréso.'!F19)*(1+'Hypothèses tréso.'!#REF!)</f>
        <v>#REF!</v>
      </c>
      <c r="L17" s="229" t="e">
        <f>+('CDR mensuel'!L15*'Hypothèses tréso.'!C19+'CDR mensuel'!K15*'Hypothèses tréso.'!D19+'CDR mensuel'!J15*'Hypothèses tréso.'!E19+'CDR mensuel'!I15*'Hypothèses tréso.'!F19)*(1+'Hypothèses tréso.'!#REF!)</f>
        <v>#REF!</v>
      </c>
      <c r="M17" s="229" t="e">
        <f>+('CDR mensuel'!M15*'Hypothèses tréso.'!C19+'CDR mensuel'!L15*'Hypothèses tréso.'!D19+'CDR mensuel'!K15*'Hypothèses tréso.'!E19+'CDR mensuel'!J15*'Hypothèses tréso.'!F19)*(1+'Hypothèses tréso.'!#REF!)</f>
        <v>#REF!</v>
      </c>
      <c r="N17" s="183"/>
    </row>
    <row r="18" spans="1:16">
      <c r="A18" s="236" t="s">
        <v>7</v>
      </c>
      <c r="B18" s="228">
        <v>0</v>
      </c>
      <c r="C18" s="229" t="e">
        <f>+('CDR mensuel'!C16*'Hypothèses tréso.'!C20+'CDR mensuel'!B16*'Hypothèses tréso.'!D20)*(1+'Hypothèses tréso.'!#REF!)</f>
        <v>#REF!</v>
      </c>
      <c r="D18" s="229" t="e">
        <f>+('CDR mensuel'!D16*'Hypothèses tréso.'!C20+'CDR mensuel'!C16*'Hypothèses tréso.'!D20+'CDR mensuel'!B16*'Hypothèses tréso.'!E20)*(1+'Hypothèses tréso.'!#REF!)</f>
        <v>#REF!</v>
      </c>
      <c r="E18" s="228" t="e">
        <f>+('CDR mensuel'!B16*'Hypothèses tréso.'!F20+'CDR mensuel'!C16*'Hypothèses tréso.'!E20+'CDR mensuel'!D16*'Hypothèses tréso.'!D20+'CDR mensuel'!E16*'Hypothèses tréso.'!C20)*(1+'Hypothèses tréso.'!#REF!)</f>
        <v>#REF!</v>
      </c>
      <c r="F18" s="229" t="e">
        <f>+('CDR mensuel'!F16*'Hypothèses tréso.'!C20+'CDR mensuel'!E16*'Hypothèses tréso.'!D20+'CDR mensuel'!D16*'Hypothèses tréso.'!E20+'CDR mensuel'!C16*'Hypothèses tréso.'!F20)*(1+'Hypothèses tréso.'!#REF!)</f>
        <v>#REF!</v>
      </c>
      <c r="G18" s="228" t="e">
        <f>+('CDR mensuel'!G16*'Hypothèses tréso.'!C20+'CDR mensuel'!F16*'Hypothèses tréso.'!D20+'CDR mensuel'!E16*'Hypothèses tréso.'!E20+'CDR mensuel'!D16*'Hypothèses tréso.'!F20)*(1+'Hypothèses tréso.'!#REF!)</f>
        <v>#REF!</v>
      </c>
      <c r="H18" s="228" t="e">
        <f>+('CDR mensuel'!H16*'Hypothèses tréso.'!C20+'CDR mensuel'!G16*'Hypothèses tréso.'!D20+'CDR mensuel'!F16*'Hypothèses tréso.'!E20+'CDR mensuel'!E16*'Hypothèses tréso.'!F20)*(1+'Hypothèses tréso.'!#REF!)</f>
        <v>#REF!</v>
      </c>
      <c r="I18" s="229" t="e">
        <f>+('CDR mensuel'!I16*'Hypothèses tréso.'!C20+'CDR mensuel'!H16*'Hypothèses tréso.'!D20+'CDR mensuel'!G16*'Hypothèses tréso.'!E20+'CDR mensuel'!F16*'Hypothèses tréso.'!F20)*(1+'Hypothèses tréso.'!#REF!)</f>
        <v>#REF!</v>
      </c>
      <c r="J18" s="228">
        <f>+('CDR mensuel'!J16*'Hypothèses tréso.'!C20+'CDR mensuel'!I16*'Hypothèses tréso.'!D20+'CDR mensuel'!H16*'Hypothèses tréso.'!E20+'CDR mensuel'!G16*'Hypothèses tréso.'!F20)*(1+N18)</f>
        <v>0</v>
      </c>
      <c r="K18" s="229" t="e">
        <f>+('CDR mensuel'!K16*'Hypothèses tréso.'!C20+'CDR mensuel'!J16*'Hypothèses tréso.'!D20+'CDR mensuel'!I16*'Hypothèses tréso.'!E20+'CDR mensuel'!H16*'Hypothèses tréso.'!F20)*(1+'Hypothèses tréso.'!#REF!)</f>
        <v>#REF!</v>
      </c>
      <c r="L18" s="229" t="e">
        <f>+('CDR mensuel'!L16*'Hypothèses tréso.'!C20+'CDR mensuel'!K16*'Hypothèses tréso.'!D20+'CDR mensuel'!J16*'Hypothèses tréso.'!E20+'CDR mensuel'!I16*'Hypothèses tréso.'!F20)*(1+'Hypothèses tréso.'!#REF!)</f>
        <v>#REF!</v>
      </c>
      <c r="M18" s="228" t="e">
        <f>+('CDR mensuel'!M16*'Hypothèses tréso.'!C20+'CDR mensuel'!L16*'Hypothèses tréso.'!D20+'CDR mensuel'!K16*'Hypothèses tréso.'!E20+'CDR mensuel'!J16*'Hypothèses tréso.'!F20)*(1+'Hypothèses tréso.'!#REF!)</f>
        <v>#REF!</v>
      </c>
      <c r="N18" s="183"/>
    </row>
    <row r="19" spans="1:16">
      <c r="A19" s="236" t="s">
        <v>8</v>
      </c>
      <c r="B19" s="228">
        <v>0</v>
      </c>
      <c r="C19" s="228" t="e">
        <f>+('CDR mensuel'!C17*'Hypothèses tréso.'!C21+'CDR mensuel'!B17*'Hypothèses tréso.'!D21)*(1+'Hypothèses tréso.'!#REF!)</f>
        <v>#REF!</v>
      </c>
      <c r="D19" s="228" t="e">
        <f>+('CDR mensuel'!D17*'Hypothèses tréso.'!C21+'CDR mensuel'!C17*'Hypothèses tréso.'!D21+'CDR mensuel'!B17*'Hypothèses tréso.'!E21)*(1+'Hypothèses tréso.'!#REF!)</f>
        <v>#REF!</v>
      </c>
      <c r="E19" s="228" t="e">
        <f>+('CDR mensuel'!B17*'Hypothèses tréso.'!F21+'CDR mensuel'!C17*'Hypothèses tréso.'!E21+'CDR mensuel'!D17*'Hypothèses tréso.'!D21+'CDR mensuel'!E17*'Hypothèses tréso.'!C21)*(1+'Hypothèses tréso.'!#REF!)</f>
        <v>#REF!</v>
      </c>
      <c r="F19" s="229" t="e">
        <f>+('CDR mensuel'!F17*'Hypothèses tréso.'!C21+'CDR mensuel'!E17*'Hypothèses tréso.'!D21+'CDR mensuel'!D17*'Hypothèses tréso.'!E21+'CDR mensuel'!C17*'Hypothèses tréso.'!F21)*(1+'Hypothèses tréso.'!#REF!)</f>
        <v>#REF!</v>
      </c>
      <c r="G19" s="229" t="e">
        <f>+('CDR mensuel'!G17*'Hypothèses tréso.'!C21+'CDR mensuel'!F17*'Hypothèses tréso.'!D21+'CDR mensuel'!E17*'Hypothèses tréso.'!E21+'CDR mensuel'!D17*'Hypothèses tréso.'!F21)*(1+'Hypothèses tréso.'!#REF!)</f>
        <v>#REF!</v>
      </c>
      <c r="H19" s="229" t="e">
        <f>+('CDR mensuel'!H17*'Hypothèses tréso.'!C21+'CDR mensuel'!G17*'Hypothèses tréso.'!D21+'CDR mensuel'!F17*'Hypothèses tréso.'!E21+'CDR mensuel'!E17*'Hypothèses tréso.'!F21)*(1+'Hypothèses tréso.'!#REF!)</f>
        <v>#REF!</v>
      </c>
      <c r="I19" s="229" t="e">
        <f>+('CDR mensuel'!I17*'Hypothèses tréso.'!C21+'CDR mensuel'!H17*'Hypothèses tréso.'!D21+'CDR mensuel'!G17*'Hypothèses tréso.'!E21+'CDR mensuel'!F17*'Hypothèses tréso.'!F21)*(1+'Hypothèses tréso.'!#REF!)</f>
        <v>#REF!</v>
      </c>
      <c r="J19" s="229">
        <f>+('CDR mensuel'!J17*'Hypothèses tréso.'!C21+'CDR mensuel'!I17*'Hypothèses tréso.'!D21+'CDR mensuel'!H17*'Hypothèses tréso.'!E21+'CDR mensuel'!G17*'Hypothèses tréso.'!F21)*(1+N19)</f>
        <v>-0.5</v>
      </c>
      <c r="K19" s="229" t="e">
        <f>+('CDR mensuel'!K17*'Hypothèses tréso.'!C21+'CDR mensuel'!J17*'Hypothèses tréso.'!D21+'CDR mensuel'!I17*'Hypothèses tréso.'!E21+'CDR mensuel'!H17*'Hypothèses tréso.'!F21)*(1+'Hypothèses tréso.'!#REF!)</f>
        <v>#REF!</v>
      </c>
      <c r="L19" s="229" t="e">
        <f>+('CDR mensuel'!L17*'Hypothèses tréso.'!C21+'CDR mensuel'!K17*'Hypothèses tréso.'!D21+'CDR mensuel'!J17*'Hypothèses tréso.'!E21+'CDR mensuel'!I17*'Hypothèses tréso.'!F21)*(1+'Hypothèses tréso.'!#REF!)</f>
        <v>#REF!</v>
      </c>
      <c r="M19" s="229" t="e">
        <f>+('CDR mensuel'!M17*'Hypothèses tréso.'!C21+'CDR mensuel'!L17*'Hypothèses tréso.'!D21+'CDR mensuel'!K17*'Hypothèses tréso.'!E21+'CDR mensuel'!J17*'Hypothèses tréso.'!F21)*(1+'Hypothèses tréso.'!#REF!)</f>
        <v>#REF!</v>
      </c>
      <c r="N19" s="183"/>
    </row>
    <row r="20" spans="1:16">
      <c r="A20" s="236" t="s">
        <v>9</v>
      </c>
      <c r="B20" s="228">
        <v>0</v>
      </c>
      <c r="C20" s="228" t="e">
        <f>+('CDR mensuel'!C18*'Hypothèses tréso.'!C22+'CDR mensuel'!B18*'Hypothèses tréso.'!D22)*(1+'Hypothèses tréso.'!#REF!)</f>
        <v>#REF!</v>
      </c>
      <c r="D20" s="229" t="e">
        <f>+('CDR mensuel'!D18*'Hypothèses tréso.'!C22+'CDR mensuel'!C18*'Hypothèses tréso.'!D22+'CDR mensuel'!B18*'Hypothèses tréso.'!E22)*(1+'Hypothèses tréso.'!#REF!)</f>
        <v>#REF!</v>
      </c>
      <c r="E20" s="229" t="e">
        <f>+('CDR mensuel'!B18*'Hypothèses tréso.'!F22+'CDR mensuel'!C18*'Hypothèses tréso.'!E22+'CDR mensuel'!D18*'Hypothèses tréso.'!D22+'CDR mensuel'!E18*'Hypothèses tréso.'!C22)*(1+'Hypothèses tréso.'!#REF!)</f>
        <v>#REF!</v>
      </c>
      <c r="F20" s="229" t="e">
        <f>+('CDR mensuel'!F18*'Hypothèses tréso.'!C22+'CDR mensuel'!E18*'Hypothèses tréso.'!D22+'CDR mensuel'!D18*'Hypothèses tréso.'!E22+'CDR mensuel'!C18*'Hypothèses tréso.'!F22)*(1+'Hypothèses tréso.'!#REF!)</f>
        <v>#REF!</v>
      </c>
      <c r="G20" s="229" t="e">
        <f>+('CDR mensuel'!G18*'Hypothèses tréso.'!C22+'CDR mensuel'!F18*'Hypothèses tréso.'!D22+'CDR mensuel'!E18*'Hypothèses tréso.'!E22+'CDR mensuel'!D18*'Hypothèses tréso.'!F22)*(1+'Hypothèses tréso.'!#REF!)</f>
        <v>#REF!</v>
      </c>
      <c r="H20" s="229" t="e">
        <f>+('CDR mensuel'!H18*'Hypothèses tréso.'!C22+'CDR mensuel'!G18*'Hypothèses tréso.'!D22+'CDR mensuel'!F18*'Hypothèses tréso.'!E22+'CDR mensuel'!E18*'Hypothèses tréso.'!F22)*(1+'Hypothèses tréso.'!#REF!)</f>
        <v>#REF!</v>
      </c>
      <c r="I20" s="229" t="e">
        <f>+('CDR mensuel'!I18*'Hypothèses tréso.'!C22+'CDR mensuel'!H18*'Hypothèses tréso.'!D22+'CDR mensuel'!G18*'Hypothèses tréso.'!E22+'CDR mensuel'!F18*'Hypothèses tréso.'!F22)*(1+'Hypothèses tréso.'!#REF!)</f>
        <v>#REF!</v>
      </c>
      <c r="J20" s="229">
        <f>+('CDR mensuel'!J18*'Hypothèses tréso.'!C22+'CDR mensuel'!I18*'Hypothèses tréso.'!D22+'CDR mensuel'!H18*'Hypothèses tréso.'!E22+'CDR mensuel'!G18*'Hypothèses tréso.'!F22)*(1+N20)</f>
        <v>-53.82084564551657</v>
      </c>
      <c r="K20" s="229" t="e">
        <f>+('CDR mensuel'!K18*'Hypothèses tréso.'!C22+'CDR mensuel'!J18*'Hypothèses tréso.'!D22+'CDR mensuel'!I18*'Hypothèses tréso.'!E22+'CDR mensuel'!H18*'Hypothèses tréso.'!F22)*(1+'Hypothèses tréso.'!#REF!)</f>
        <v>#REF!</v>
      </c>
      <c r="L20" s="229" t="e">
        <f>+('CDR mensuel'!L18*'Hypothèses tréso.'!C22+'CDR mensuel'!K18*'Hypothèses tréso.'!D22+'CDR mensuel'!J18*'Hypothèses tréso.'!E22+'CDR mensuel'!I18*'Hypothèses tréso.'!F22)*(1+'Hypothèses tréso.'!#REF!)</f>
        <v>#REF!</v>
      </c>
      <c r="M20" s="229" t="e">
        <f>+('CDR mensuel'!M18*'Hypothèses tréso.'!C22+'CDR mensuel'!L18*'Hypothèses tréso.'!D22+'CDR mensuel'!K18*'Hypothèses tréso.'!E22+'CDR mensuel'!J18*'Hypothèses tréso.'!F22)*(1+'Hypothèses tréso.'!#REF!)</f>
        <v>#REF!</v>
      </c>
      <c r="N20" s="183"/>
    </row>
    <row r="21" spans="1:16">
      <c r="A21" s="236" t="s">
        <v>153</v>
      </c>
      <c r="B21" s="228">
        <v>0</v>
      </c>
      <c r="C21" s="228" t="e">
        <f>+('CDR mensuel'!C19*'Hypothèses tréso.'!C23+'CDR mensuel'!B19*'Hypothèses tréso.'!D23)*(1+'Hypothèses tréso.'!#REF!)</f>
        <v>#REF!</v>
      </c>
      <c r="D21" s="229" t="e">
        <f>+('CDR mensuel'!D19*'Hypothèses tréso.'!C23+'CDR mensuel'!C19*'Hypothèses tréso.'!D23+'CDR mensuel'!B19*'Hypothèses tréso.'!E23)*(1+'Hypothèses tréso.'!#REF!)</f>
        <v>#REF!</v>
      </c>
      <c r="E21" s="229" t="e">
        <f>+('CDR mensuel'!B19*'Hypothèses tréso.'!F23+'CDR mensuel'!C19*'Hypothèses tréso.'!E23+'CDR mensuel'!D19*'Hypothèses tréso.'!D23+'CDR mensuel'!E19*'Hypothèses tréso.'!C23)*(1+'Hypothèses tréso.'!#REF!)</f>
        <v>#REF!</v>
      </c>
      <c r="F21" s="229" t="e">
        <f>+('CDR mensuel'!F19*'Hypothèses tréso.'!C23+'CDR mensuel'!E19*'Hypothèses tréso.'!D23+'CDR mensuel'!D19*'Hypothèses tréso.'!E23+'CDR mensuel'!C19*'Hypothèses tréso.'!F23)*(1+'Hypothèses tréso.'!#REF!)</f>
        <v>#REF!</v>
      </c>
      <c r="G21" s="229" t="e">
        <f>+('CDR mensuel'!G19*'Hypothèses tréso.'!C23+'CDR mensuel'!F19*'Hypothèses tréso.'!D23+'CDR mensuel'!E19*'Hypothèses tréso.'!E23+'CDR mensuel'!D19*'Hypothèses tréso.'!F23)*(1+'Hypothèses tréso.'!#REF!)</f>
        <v>#REF!</v>
      </c>
      <c r="H21" s="229" t="e">
        <f>+('CDR mensuel'!H19*'Hypothèses tréso.'!C23+'CDR mensuel'!G19*'Hypothèses tréso.'!D23+'CDR mensuel'!F19*'Hypothèses tréso.'!E23+'CDR mensuel'!E19*'Hypothèses tréso.'!F23)*(1+'Hypothèses tréso.'!#REF!)</f>
        <v>#REF!</v>
      </c>
      <c r="I21" s="229" t="e">
        <f>+('CDR mensuel'!I19*'Hypothèses tréso.'!C23+'CDR mensuel'!H19*'Hypothèses tréso.'!D23+'CDR mensuel'!G19*'Hypothèses tréso.'!E23+'CDR mensuel'!F19*'Hypothèses tréso.'!F23)*(1+'Hypothèses tréso.'!#REF!)</f>
        <v>#REF!</v>
      </c>
      <c r="J21" s="229">
        <f>+('CDR mensuel'!J19*'Hypothèses tréso.'!C23+'CDR mensuel'!I19*'Hypothèses tréso.'!D23+'CDR mensuel'!H19*'Hypothèses tréso.'!E23+'CDR mensuel'!G19*'Hypothèses tréso.'!F23)*(1+N21)</f>
        <v>-1.1218667877569952</v>
      </c>
      <c r="K21" s="229" t="e">
        <f>+('CDR mensuel'!K19*'Hypothèses tréso.'!C23+'CDR mensuel'!J19*'Hypothèses tréso.'!D23+'CDR mensuel'!I19*'Hypothèses tréso.'!E23+'CDR mensuel'!H19*'Hypothèses tréso.'!F23)*(1+'Hypothèses tréso.'!#REF!)</f>
        <v>#REF!</v>
      </c>
      <c r="L21" s="229" t="e">
        <f>+('CDR mensuel'!L19*'Hypothèses tréso.'!C23+'CDR mensuel'!K19*'Hypothèses tréso.'!D23+'CDR mensuel'!J19*'Hypothèses tréso.'!E23+'CDR mensuel'!I19*'Hypothèses tréso.'!F23)*(1+'Hypothèses tréso.'!#REF!)</f>
        <v>#REF!</v>
      </c>
      <c r="M21" s="229" t="e">
        <f>+('CDR mensuel'!M19*'Hypothèses tréso.'!C23+'CDR mensuel'!L19*'Hypothèses tréso.'!D23+'CDR mensuel'!K19*'Hypothèses tréso.'!E23+'CDR mensuel'!J19*'Hypothèses tréso.'!F23)*(1+'Hypothèses tréso.'!#REF!)</f>
        <v>#REF!</v>
      </c>
      <c r="N21" s="183"/>
    </row>
    <row r="22" spans="1:16">
      <c r="A22" s="236" t="s">
        <v>11</v>
      </c>
      <c r="B22" s="228">
        <v>0</v>
      </c>
      <c r="C22" s="229" t="e">
        <f>+('CDR mensuel'!C20*'Hypothèses tréso.'!C24+'CDR mensuel'!B20*'Hypothèses tréso.'!D24)*(1+'Hypothèses tréso.'!#REF!)</f>
        <v>#REF!</v>
      </c>
      <c r="D22" s="229" t="e">
        <f>+('CDR mensuel'!D20*'Hypothèses tréso.'!C24+'CDR mensuel'!C20*'Hypothèses tréso.'!D24+'CDR mensuel'!B20*'Hypothèses tréso.'!E24)*(1+'Hypothèses tréso.'!#REF!)</f>
        <v>#REF!</v>
      </c>
      <c r="E22" s="229" t="e">
        <f>+('CDR mensuel'!B20*'Hypothèses tréso.'!F24+'CDR mensuel'!C20*'Hypothèses tréso.'!E24+'CDR mensuel'!D20*'Hypothèses tréso.'!D24+'CDR mensuel'!E20*'Hypothèses tréso.'!C24)*(1+'Hypothèses tréso.'!#REF!)</f>
        <v>#REF!</v>
      </c>
      <c r="F22" s="229" t="e">
        <f>+('CDR mensuel'!F20*'Hypothèses tréso.'!C24+'CDR mensuel'!E20*'Hypothèses tréso.'!D24+'CDR mensuel'!D20*'Hypothèses tréso.'!E24+'CDR mensuel'!C20*'Hypothèses tréso.'!F24)*(1+'Hypothèses tréso.'!#REF!)</f>
        <v>#REF!</v>
      </c>
      <c r="G22" s="229" t="e">
        <f>+('CDR mensuel'!G20*'Hypothèses tréso.'!C24+'CDR mensuel'!F20*'Hypothèses tréso.'!D24+'CDR mensuel'!E20*'Hypothèses tréso.'!E24+'CDR mensuel'!D20*'Hypothèses tréso.'!F24)*(1+'Hypothèses tréso.'!#REF!)</f>
        <v>#REF!</v>
      </c>
      <c r="H22" s="229" t="e">
        <f>+('CDR mensuel'!H20*'Hypothèses tréso.'!C24+'CDR mensuel'!G20*'Hypothèses tréso.'!D24+'CDR mensuel'!F20*'Hypothèses tréso.'!E24+'CDR mensuel'!E20*'Hypothèses tréso.'!F24)*(1+'Hypothèses tréso.'!#REF!)</f>
        <v>#REF!</v>
      </c>
      <c r="I22" s="229" t="e">
        <f>+('CDR mensuel'!I20*'Hypothèses tréso.'!C24+'CDR mensuel'!H20*'Hypothèses tréso.'!D24+'CDR mensuel'!G20*'Hypothèses tréso.'!E24+'CDR mensuel'!F20*'Hypothèses tréso.'!F24)*(1+'Hypothèses tréso.'!#REF!)</f>
        <v>#REF!</v>
      </c>
      <c r="J22" s="229">
        <f>+('CDR mensuel'!J20*'Hypothèses tréso.'!C24+'CDR mensuel'!I20*'Hypothèses tréso.'!D24+'CDR mensuel'!H20*'Hypothèses tréso.'!E24+'CDR mensuel'!G20*'Hypothèses tréso.'!F24)*(1+N22)</f>
        <v>-136.21508749551086</v>
      </c>
      <c r="K22" s="229" t="e">
        <f>+('CDR mensuel'!K20*'Hypothèses tréso.'!C24+'CDR mensuel'!J20*'Hypothèses tréso.'!D24+'CDR mensuel'!I20*'Hypothèses tréso.'!E24+'CDR mensuel'!H20*'Hypothèses tréso.'!F24)*(1+'Hypothèses tréso.'!#REF!)</f>
        <v>#REF!</v>
      </c>
      <c r="L22" s="229" t="e">
        <f>+('CDR mensuel'!L20*'Hypothèses tréso.'!C24+'CDR mensuel'!K20*'Hypothèses tréso.'!D24+'CDR mensuel'!J20*'Hypothèses tréso.'!E24+'CDR mensuel'!I20*'Hypothèses tréso.'!F24)*(1+'Hypothèses tréso.'!#REF!)</f>
        <v>#REF!</v>
      </c>
      <c r="M22" s="229" t="e">
        <f>+('CDR mensuel'!M20*'Hypothèses tréso.'!C24+'CDR mensuel'!L20*'Hypothèses tréso.'!D24+'CDR mensuel'!K20*'Hypothèses tréso.'!E24+'CDR mensuel'!J20*'Hypothèses tréso.'!F24)*(1+'Hypothèses tréso.'!#REF!)</f>
        <v>#REF!</v>
      </c>
      <c r="N22" s="183"/>
    </row>
    <row r="23" spans="1:16">
      <c r="A23" s="236" t="s">
        <v>154</v>
      </c>
      <c r="B23" s="228">
        <v>0</v>
      </c>
      <c r="C23" s="229" t="e">
        <f>+('CDR mensuel'!C21*'Hypothèses tréso.'!C25+'CDR mensuel'!B21*'Hypothèses tréso.'!D25)*(1+'Hypothèses tréso.'!#REF!)</f>
        <v>#REF!</v>
      </c>
      <c r="D23" s="229" t="e">
        <f>+('CDR mensuel'!D21*'Hypothèses tréso.'!C25+'CDR mensuel'!C21*'Hypothèses tréso.'!D25+'CDR mensuel'!B21*'Hypothèses tréso.'!E25)*(1+'Hypothèses tréso.'!#REF!)</f>
        <v>#REF!</v>
      </c>
      <c r="E23" s="229" t="e">
        <f>+('CDR mensuel'!B21*'Hypothèses tréso.'!F25+'CDR mensuel'!C21*'Hypothèses tréso.'!E25+'CDR mensuel'!D21*'Hypothèses tréso.'!D25+'CDR mensuel'!E21*'Hypothèses tréso.'!C25)*(1+'Hypothèses tréso.'!#REF!)</f>
        <v>#REF!</v>
      </c>
      <c r="F23" s="229" t="e">
        <f>+('CDR mensuel'!F21*'Hypothèses tréso.'!C25+'CDR mensuel'!E21*'Hypothèses tréso.'!D25+'CDR mensuel'!D21*'Hypothèses tréso.'!E25+'CDR mensuel'!C21*'Hypothèses tréso.'!F25)*(1+'Hypothèses tréso.'!#REF!)</f>
        <v>#REF!</v>
      </c>
      <c r="G23" s="229" t="e">
        <f>+('CDR mensuel'!G21*'Hypothèses tréso.'!C25+'CDR mensuel'!F21*'Hypothèses tréso.'!D25+'CDR mensuel'!E21*'Hypothèses tréso.'!E25+'CDR mensuel'!D21*'Hypothèses tréso.'!F25)*(1+'Hypothèses tréso.'!#REF!)</f>
        <v>#REF!</v>
      </c>
      <c r="H23" s="229" t="e">
        <f>+('CDR mensuel'!H21*'Hypothèses tréso.'!C25+'CDR mensuel'!G21*'Hypothèses tréso.'!D25+'CDR mensuel'!F21*'Hypothèses tréso.'!E25+'CDR mensuel'!E21*'Hypothèses tréso.'!F25)*(1+'Hypothèses tréso.'!#REF!)</f>
        <v>#REF!</v>
      </c>
      <c r="I23" s="229" t="e">
        <f>+('CDR mensuel'!I21*'Hypothèses tréso.'!C25+'CDR mensuel'!H21*'Hypothèses tréso.'!D25+'CDR mensuel'!G21*'Hypothèses tréso.'!E25+'CDR mensuel'!F21*'Hypothèses tréso.'!F25)*(1+'Hypothèses tréso.'!#REF!)</f>
        <v>#REF!</v>
      </c>
      <c r="J23" s="229">
        <f>+('CDR mensuel'!J21*'Hypothèses tréso.'!C25+'CDR mensuel'!I21*'Hypothèses tréso.'!D25+'CDR mensuel'!H21*'Hypothèses tréso.'!E25+'CDR mensuel'!G21*'Hypothèses tréso.'!F25)*(1+N23)</f>
        <v>-38.848088965886987</v>
      </c>
      <c r="K23" s="229" t="e">
        <f>+('CDR mensuel'!K21*'Hypothèses tréso.'!C25+'CDR mensuel'!J21*'Hypothèses tréso.'!D25+'CDR mensuel'!I21*'Hypothèses tréso.'!E25+'CDR mensuel'!H21*'Hypothèses tréso.'!F25)*(1+'Hypothèses tréso.'!#REF!)</f>
        <v>#REF!</v>
      </c>
      <c r="L23" s="229" t="e">
        <f>+('CDR mensuel'!L21*'Hypothèses tréso.'!C25+'CDR mensuel'!K21*'Hypothèses tréso.'!D25+'CDR mensuel'!J21*'Hypothèses tréso.'!E25+'CDR mensuel'!I21*'Hypothèses tréso.'!F25)*(1+'Hypothèses tréso.'!#REF!)</f>
        <v>#REF!</v>
      </c>
      <c r="M23" s="229" t="e">
        <f>+('CDR mensuel'!M21*'Hypothèses tréso.'!C25+'CDR mensuel'!L21*'Hypothèses tréso.'!D25+'CDR mensuel'!K21*'Hypothèses tréso.'!E25+'CDR mensuel'!J21*'Hypothèses tréso.'!F25)*(1+'Hypothèses tréso.'!#REF!)</f>
        <v>#REF!</v>
      </c>
      <c r="N23" s="183"/>
    </row>
    <row r="24" spans="1:16">
      <c r="A24" s="236" t="s">
        <v>13</v>
      </c>
      <c r="B24" s="228">
        <v>0</v>
      </c>
      <c r="C24" s="228" t="e">
        <f>+('CDR mensuel'!C22*'Hypothèses tréso.'!C26+'CDR mensuel'!B22*'Hypothèses tréso.'!D26)*(1+'Hypothèses tréso.'!#REF!)</f>
        <v>#REF!</v>
      </c>
      <c r="D24" s="229" t="e">
        <f>+('CDR mensuel'!D22*'Hypothèses tréso.'!C26+'CDR mensuel'!C22*'Hypothèses tréso.'!D26+'CDR mensuel'!B22*'Hypothèses tréso.'!E26)*(1+'Hypothèses tréso.'!#REF!)</f>
        <v>#REF!</v>
      </c>
      <c r="E24" s="229" t="e">
        <f>+('CDR mensuel'!B22*'Hypothèses tréso.'!F26+'CDR mensuel'!C22*'Hypothèses tréso.'!E26+'CDR mensuel'!D22*'Hypothèses tréso.'!D26+'CDR mensuel'!E22*'Hypothèses tréso.'!C26)*(1+'Hypothèses tréso.'!#REF!)</f>
        <v>#REF!</v>
      </c>
      <c r="F24" s="229" t="e">
        <f>+('CDR mensuel'!F22*'Hypothèses tréso.'!C26+'CDR mensuel'!E22*'Hypothèses tréso.'!D26+'CDR mensuel'!D22*'Hypothèses tréso.'!E26+'CDR mensuel'!C22*'Hypothèses tréso.'!F26)*(1+'Hypothèses tréso.'!#REF!)</f>
        <v>#REF!</v>
      </c>
      <c r="G24" s="229" t="e">
        <f>+('CDR mensuel'!G22*'Hypothèses tréso.'!C26+'CDR mensuel'!F22*'Hypothèses tréso.'!D26+'CDR mensuel'!E22*'Hypothèses tréso.'!E26+'CDR mensuel'!D22*'Hypothèses tréso.'!F26)*(1+'Hypothèses tréso.'!#REF!)</f>
        <v>#REF!</v>
      </c>
      <c r="H24" s="229" t="e">
        <f>+('CDR mensuel'!H22*'Hypothèses tréso.'!C26+'CDR mensuel'!G22*'Hypothèses tréso.'!D26+'CDR mensuel'!F22*'Hypothèses tréso.'!E26+'CDR mensuel'!E22*'Hypothèses tréso.'!F26)*(1+'Hypothèses tréso.'!#REF!)</f>
        <v>#REF!</v>
      </c>
      <c r="I24" s="229" t="e">
        <f>+('CDR mensuel'!I22*'Hypothèses tréso.'!C26+'CDR mensuel'!H22*'Hypothèses tréso.'!D26+'CDR mensuel'!G22*'Hypothèses tréso.'!E26+'CDR mensuel'!F22*'Hypothèses tréso.'!F26)*(1+'Hypothèses tréso.'!#REF!)</f>
        <v>#REF!</v>
      </c>
      <c r="J24" s="229">
        <f>+('CDR mensuel'!J22*'Hypothèses tréso.'!C26+'CDR mensuel'!I22*'Hypothèses tréso.'!D26+'CDR mensuel'!H22*'Hypothèses tréso.'!E26+'CDR mensuel'!G22*'Hypothèses tréso.'!F26)*(1+N24)</f>
        <v>-20.566767023550977</v>
      </c>
      <c r="K24" s="229" t="e">
        <f>+('CDR mensuel'!K22*'Hypothèses tréso.'!C26+'CDR mensuel'!J22*'Hypothèses tréso.'!D26+'CDR mensuel'!I22*'Hypothèses tréso.'!E26+'CDR mensuel'!H22*'Hypothèses tréso.'!F26)*(1+'Hypothèses tréso.'!#REF!)</f>
        <v>#REF!</v>
      </c>
      <c r="L24" s="229" t="e">
        <f>+('CDR mensuel'!L22*'Hypothèses tréso.'!C26+'CDR mensuel'!K22*'Hypothèses tréso.'!D26+'CDR mensuel'!J22*'Hypothèses tréso.'!E26+'CDR mensuel'!I22*'Hypothèses tréso.'!F26)*(1+'Hypothèses tréso.'!#REF!)</f>
        <v>#REF!</v>
      </c>
      <c r="M24" s="229" t="e">
        <f>+('CDR mensuel'!M22*'Hypothèses tréso.'!C26+'CDR mensuel'!L22*'Hypothèses tréso.'!D26+'CDR mensuel'!K22*'Hypothèses tréso.'!E26+'CDR mensuel'!J22*'Hypothèses tréso.'!F26)*(1+'Hypothèses tréso.'!#REF!)</f>
        <v>#REF!</v>
      </c>
      <c r="N24" s="183"/>
    </row>
    <row r="25" spans="1:16" ht="3.5" customHeight="1">
      <c r="A25" s="225"/>
      <c r="B25" s="228"/>
      <c r="C25" s="226"/>
      <c r="D25" s="226"/>
      <c r="E25" s="226"/>
      <c r="F25" s="226"/>
      <c r="G25" s="226"/>
      <c r="H25" s="226"/>
      <c r="I25" s="226"/>
      <c r="J25" s="226"/>
      <c r="K25" s="229"/>
      <c r="L25" s="229"/>
      <c r="M25" s="229"/>
    </row>
    <row r="26" spans="1:16" s="235" customFormat="1">
      <c r="A26" s="231" t="s">
        <v>173</v>
      </c>
      <c r="B26" s="238">
        <f>SUM(B11:B25)</f>
        <v>0</v>
      </c>
      <c r="C26" s="239" t="e">
        <f>SUM(C11:C25)</f>
        <v>#REF!</v>
      </c>
      <c r="D26" s="239" t="e">
        <f t="shared" ref="D26:M26" si="2">SUM(D11:D25)</f>
        <v>#REF!</v>
      </c>
      <c r="E26" s="239" t="e">
        <f t="shared" si="2"/>
        <v>#REF!</v>
      </c>
      <c r="F26" s="239" t="e">
        <f t="shared" si="2"/>
        <v>#REF!</v>
      </c>
      <c r="G26" s="239" t="e">
        <f>SUM(G11:G25)</f>
        <v>#REF!</v>
      </c>
      <c r="H26" s="239" t="e">
        <f t="shared" si="2"/>
        <v>#REF!</v>
      </c>
      <c r="I26" s="239" t="e">
        <f t="shared" si="2"/>
        <v>#REF!</v>
      </c>
      <c r="J26" s="239">
        <f t="shared" si="2"/>
        <v>-998.79564617469589</v>
      </c>
      <c r="K26" s="239" t="e">
        <f t="shared" si="2"/>
        <v>#REF!</v>
      </c>
      <c r="L26" s="239" t="e">
        <f t="shared" si="2"/>
        <v>#REF!</v>
      </c>
      <c r="M26" s="239" t="e">
        <f t="shared" si="2"/>
        <v>#REF!</v>
      </c>
      <c r="N26" s="234"/>
      <c r="O26" s="234"/>
      <c r="P26" s="234"/>
    </row>
    <row r="27" spans="1:16" ht="3.5" customHeight="1">
      <c r="A27" s="225"/>
      <c r="B27" s="228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</row>
    <row r="28" spans="1:16">
      <c r="A28" s="236" t="s">
        <v>14</v>
      </c>
      <c r="B28" s="229">
        <f>+'CDR mensuel'!B23*'Hypothèses tréso.'!C30</f>
        <v>-4</v>
      </c>
      <c r="C28" s="229">
        <f>+'CDR mensuel'!C23*'Hypothèses tréso.'!C30</f>
        <v>-4</v>
      </c>
      <c r="D28" s="229">
        <f>+'CDR mensuel'!D23*'Hypothèses tréso.'!C30</f>
        <v>-4</v>
      </c>
      <c r="E28" s="229">
        <f>+'CDR mensuel'!E23*'Hypothèses tréso.'!C30</f>
        <v>-4</v>
      </c>
      <c r="F28" s="229">
        <f>+'CDR mensuel'!F23*'Hypothèses tréso.'!C30</f>
        <v>-4</v>
      </c>
      <c r="G28" s="229">
        <f>+'CDR mensuel'!G23*'Hypothèses tréso.'!C30</f>
        <v>-4</v>
      </c>
      <c r="H28" s="229">
        <f>+'CDR mensuel'!H23*'Hypothèses tréso.'!C30</f>
        <v>-4</v>
      </c>
      <c r="I28" s="229">
        <f>+'CDR mensuel'!I23*'Hypothèses tréso.'!C30</f>
        <v>-4</v>
      </c>
      <c r="J28" s="229">
        <f>+'CDR mensuel'!J23*'Hypothèses tréso.'!C30</f>
        <v>-4</v>
      </c>
      <c r="K28" s="229">
        <f>+'CDR mensuel'!K23*'Hypothèses tréso.'!C30</f>
        <v>-4</v>
      </c>
      <c r="L28" s="229">
        <f>+'CDR mensuel'!L23*'Hypothèses tréso.'!C30</f>
        <v>-4</v>
      </c>
      <c r="M28" s="229">
        <f>+'CDR mensuel'!M23*'Hypothèses tréso.'!C30</f>
        <v>-4</v>
      </c>
    </row>
    <row r="29" spans="1:16" s="4" customFormat="1">
      <c r="A29" s="240" t="s">
        <v>217</v>
      </c>
      <c r="B29" s="230">
        <f>SUM(B30:B33)</f>
        <v>-50.137500000000003</v>
      </c>
      <c r="C29" s="230">
        <f>SUM(C30:C33)-800</f>
        <v>-823.3</v>
      </c>
      <c r="D29" s="230">
        <f t="shared" ref="D29:M29" si="3">SUM(D30:D33)</f>
        <v>-23.3</v>
      </c>
      <c r="E29" s="230">
        <f t="shared" si="3"/>
        <v>-50.137500000000003</v>
      </c>
      <c r="F29" s="230">
        <f t="shared" si="3"/>
        <v>-23.3</v>
      </c>
      <c r="G29" s="230">
        <f t="shared" si="3"/>
        <v>-23.3</v>
      </c>
      <c r="H29" s="230">
        <f t="shared" si="3"/>
        <v>-44.567499999999995</v>
      </c>
      <c r="I29" s="230">
        <f t="shared" si="3"/>
        <v>-17.73</v>
      </c>
      <c r="J29" s="230">
        <f t="shared" si="3"/>
        <v>-14.03</v>
      </c>
      <c r="K29" s="230">
        <f t="shared" si="3"/>
        <v>-40.8675</v>
      </c>
      <c r="L29" s="230">
        <f t="shared" si="3"/>
        <v>-14.03</v>
      </c>
      <c r="M29" s="230">
        <f t="shared" si="3"/>
        <v>-14.03</v>
      </c>
    </row>
    <row r="30" spans="1:16" s="4" customFormat="1" hidden="1" outlineLevel="1">
      <c r="A30" s="236" t="s">
        <v>175</v>
      </c>
      <c r="B30" s="230">
        <f>-'Hypothèses tréso.'!$B$32*'Hypothèses tréso.'!C32</f>
        <v>-14.03</v>
      </c>
      <c r="C30" s="230">
        <f>-'Hypothèses tréso.'!$B$32*'Hypothèses tréso.'!D32</f>
        <v>-14.03</v>
      </c>
      <c r="D30" s="230">
        <f>-'Hypothèses tréso.'!$B$32*'Hypothèses tréso.'!E32</f>
        <v>-14.03</v>
      </c>
      <c r="E30" s="230">
        <f>-'Hypothèses tréso.'!$B$32*'Hypothèses tréso.'!F32</f>
        <v>-14.03</v>
      </c>
      <c r="F30" s="230">
        <f>-'Hypothèses tréso.'!$B$32*'Hypothèses tréso.'!G32</f>
        <v>-14.03</v>
      </c>
      <c r="G30" s="230">
        <f>-'Hypothèses tréso.'!$B$32*'Hypothèses tréso.'!H32</f>
        <v>-14.03</v>
      </c>
      <c r="H30" s="230">
        <f>-'Hypothèses tréso.'!$B$32*'Hypothèses tréso.'!I32</f>
        <v>-14.03</v>
      </c>
      <c r="I30" s="230">
        <f>-'Hypothèses tréso.'!$B$32*'Hypothèses tréso.'!J32</f>
        <v>-14.03</v>
      </c>
      <c r="J30" s="230">
        <f>-'Hypothèses tréso.'!$B$32*'Hypothèses tréso.'!K32</f>
        <v>-14.03</v>
      </c>
      <c r="K30" s="230">
        <f>-'Hypothèses tréso.'!$B$32*'Hypothèses tréso.'!L32</f>
        <v>-14.03</v>
      </c>
      <c r="L30" s="230">
        <f>-'Hypothèses tréso.'!$B$32*'Hypothèses tréso.'!M32</f>
        <v>-14.03</v>
      </c>
      <c r="M30" s="230">
        <f>-'Hypothèses tréso.'!$B$32*'Hypothèses tréso.'!N32</f>
        <v>-14.03</v>
      </c>
    </row>
    <row r="31" spans="1:16" s="4" customFormat="1" hidden="1" outlineLevel="1">
      <c r="A31" s="236" t="s">
        <v>176</v>
      </c>
      <c r="B31" s="230">
        <f>-'Hypothèses tréso.'!$B$33*'Hypothèses tréso.'!C33</f>
        <v>-3.7</v>
      </c>
      <c r="C31" s="230">
        <f>-'Hypothèses tréso.'!$B$33*'Hypothèses tréso.'!D33</f>
        <v>-3.7</v>
      </c>
      <c r="D31" s="230">
        <f>-'Hypothèses tréso.'!$B$33*'Hypothèses tréso.'!E33</f>
        <v>-3.7</v>
      </c>
      <c r="E31" s="230">
        <f>-'Hypothèses tréso.'!$B$33*'Hypothèses tréso.'!F33</f>
        <v>-3.7</v>
      </c>
      <c r="F31" s="230">
        <f>-'Hypothèses tréso.'!$B$33*'Hypothèses tréso.'!G33</f>
        <v>-3.7</v>
      </c>
      <c r="G31" s="230">
        <f>-'Hypothèses tréso.'!$B$33*'Hypothèses tréso.'!H33</f>
        <v>-3.7</v>
      </c>
      <c r="H31" s="230">
        <f>-'Hypothèses tréso.'!$B$33*'Hypothèses tréso.'!I33</f>
        <v>-3.7</v>
      </c>
      <c r="I31" s="230">
        <f>-'Hypothèses tréso.'!$B$33*'Hypothèses tréso.'!J33</f>
        <v>-3.7</v>
      </c>
      <c r="J31" s="241">
        <f>-'Hypothèses tréso.'!$B$33*'Hypothèses tréso.'!K33</f>
        <v>0</v>
      </c>
      <c r="K31" s="241">
        <f>-'Hypothèses tréso.'!$B$33*'Hypothèses tréso.'!L33</f>
        <v>0</v>
      </c>
      <c r="L31" s="241">
        <f>-'Hypothèses tréso.'!$B$33*'Hypothèses tréso.'!M33</f>
        <v>0</v>
      </c>
      <c r="M31" s="241">
        <f>-'Hypothèses tréso.'!$B$33*'Hypothèses tréso.'!N33</f>
        <v>0</v>
      </c>
    </row>
    <row r="32" spans="1:16" s="4" customFormat="1" hidden="1" outlineLevel="1">
      <c r="A32" s="236" t="s">
        <v>177</v>
      </c>
      <c r="B32" s="230">
        <f>-'Hypothèses tréso.'!$B$34*'Hypothèses tréso.'!C34</f>
        <v>-5.57</v>
      </c>
      <c r="C32" s="230">
        <f>-'Hypothèses tréso.'!$B$34*'Hypothèses tréso.'!D34</f>
        <v>-5.57</v>
      </c>
      <c r="D32" s="230">
        <f>-'Hypothèses tréso.'!$B$34*'Hypothèses tréso.'!E34</f>
        <v>-5.57</v>
      </c>
      <c r="E32" s="230">
        <f>-'Hypothèses tréso.'!$B$34*'Hypothèses tréso.'!F34</f>
        <v>-5.57</v>
      </c>
      <c r="F32" s="230">
        <f>-'Hypothèses tréso.'!$B$34*'Hypothèses tréso.'!G34</f>
        <v>-5.57</v>
      </c>
      <c r="G32" s="230">
        <f>-'Hypothèses tréso.'!$B$34*'Hypothèses tréso.'!H34</f>
        <v>-5.57</v>
      </c>
      <c r="H32" s="241">
        <f>-'Hypothèses tréso.'!$B$34*'Hypothèses tréso.'!I34</f>
        <v>0</v>
      </c>
      <c r="I32" s="241">
        <f>-'Hypothèses tréso.'!$B$34*'Hypothèses tréso.'!J34</f>
        <v>0</v>
      </c>
      <c r="J32" s="241">
        <f>-'Hypothèses tréso.'!$B$34*'Hypothèses tréso.'!K34</f>
        <v>0</v>
      </c>
      <c r="K32" s="241">
        <f>-'Hypothèses tréso.'!$B$34*'Hypothèses tréso.'!L34</f>
        <v>0</v>
      </c>
      <c r="L32" s="241">
        <f>-'Hypothèses tréso.'!$B$34*'Hypothèses tréso.'!M34</f>
        <v>0</v>
      </c>
      <c r="M32" s="241">
        <f>-'Hypothèses tréso.'!$B$34*'Hypothèses tréso.'!N34</f>
        <v>0</v>
      </c>
    </row>
    <row r="33" spans="1:16" s="4" customFormat="1" hidden="1" outlineLevel="1">
      <c r="A33" s="236" t="s">
        <v>178</v>
      </c>
      <c r="B33" s="230">
        <f>-'Hypothèses tréso.'!$B$35*'Hypothèses tréso.'!C35</f>
        <v>-26.837499999999999</v>
      </c>
      <c r="C33" s="241">
        <f>-'Hypothèses tréso.'!$B$35*'Hypothèses tréso.'!D35</f>
        <v>0</v>
      </c>
      <c r="D33" s="241">
        <f>-'Hypothèses tréso.'!$B$35*'Hypothèses tréso.'!E35</f>
        <v>0</v>
      </c>
      <c r="E33" s="230">
        <f>-'Hypothèses tréso.'!$B$35*'Hypothèses tréso.'!F35</f>
        <v>-26.837499999999999</v>
      </c>
      <c r="F33" s="241">
        <f>-'Hypothèses tréso.'!$B$35*'Hypothèses tréso.'!G35</f>
        <v>0</v>
      </c>
      <c r="G33" s="241">
        <f>-'Hypothèses tréso.'!$B$35*'Hypothèses tréso.'!H35</f>
        <v>0</v>
      </c>
      <c r="H33" s="230">
        <f>-'Hypothèses tréso.'!$B$35*'Hypothèses tréso.'!I35</f>
        <v>-26.837499999999999</v>
      </c>
      <c r="I33" s="241">
        <f>-'Hypothèses tréso.'!$B$35*'Hypothèses tréso.'!J35</f>
        <v>0</v>
      </c>
      <c r="J33" s="241">
        <f>-'Hypothèses tréso.'!$B$35*'Hypothèses tréso.'!K35</f>
        <v>0</v>
      </c>
      <c r="K33" s="230">
        <f>-'Hypothèses tréso.'!$B$35*'Hypothèses tréso.'!L35</f>
        <v>-26.837499999999999</v>
      </c>
      <c r="L33" s="241">
        <f>-'Hypothèses tréso.'!$B$35*'Hypothèses tréso.'!M35</f>
        <v>0</v>
      </c>
      <c r="M33" s="241">
        <f>-'Hypothèses tréso.'!$B$35*'Hypothèses tréso.'!N35</f>
        <v>0</v>
      </c>
    </row>
    <row r="34" spans="1:16" s="4" customFormat="1" collapsed="1">
      <c r="A34" s="236" t="s">
        <v>233</v>
      </c>
      <c r="B34" s="241">
        <f>-'Hypothèses tréso.'!$B$36*'Hypothèses tréso.'!C36</f>
        <v>0</v>
      </c>
      <c r="C34" s="241">
        <f>-'Hypothèses tréso.'!$B$36*'Hypothèses tréso.'!D36</f>
        <v>0</v>
      </c>
      <c r="D34" s="230">
        <f>-244.18/3</f>
        <v>-81.393333333333331</v>
      </c>
      <c r="E34" s="230">
        <f t="shared" ref="E34" si="4">-244.18/3</f>
        <v>-81.393333333333331</v>
      </c>
      <c r="F34" s="230">
        <f>-244.18/3-243.49</f>
        <v>-324.88333333333333</v>
      </c>
      <c r="G34" s="241">
        <f>-'Hypothèses tréso.'!$B$36*'Hypothèses tréso.'!H36</f>
        <v>0</v>
      </c>
      <c r="H34" s="241">
        <f>-'Hypothèses tréso.'!$B$36*'Hypothèses tréso.'!I36</f>
        <v>0</v>
      </c>
      <c r="I34" s="230">
        <v>-242.8</v>
      </c>
      <c r="J34" s="241">
        <f>-'Hypothèses tréso.'!$B$36*'Hypothèses tréso.'!K36</f>
        <v>0</v>
      </c>
      <c r="K34" s="241">
        <f>-'Hypothèses tréso.'!$B$36*'Hypothèses tréso.'!L36</f>
        <v>0</v>
      </c>
      <c r="L34" s="230">
        <v>-242.11</v>
      </c>
      <c r="M34" s="241">
        <f>-'Hypothèses tréso.'!$B$36*'Hypothèses tréso.'!N36</f>
        <v>0</v>
      </c>
    </row>
    <row r="35" spans="1:16" s="4" customFormat="1">
      <c r="A35" s="236" t="s">
        <v>256</v>
      </c>
      <c r="B35" s="241">
        <f>-'Hypothèses tréso.'!$B$37*'Hypothèses tréso.'!C37</f>
        <v>0</v>
      </c>
      <c r="C35" s="241">
        <f>-'Hypothèses tréso.'!$B$37*'Hypothèses tréso.'!D37</f>
        <v>0</v>
      </c>
      <c r="D35" s="241">
        <f>-'Hypothèses tréso.'!$B$37*'Hypothèses tréso.'!E37</f>
        <v>0</v>
      </c>
      <c r="E35" s="241">
        <f>-'Hypothèses tréso.'!$B$37*'Hypothèses tréso.'!F37</f>
        <v>0</v>
      </c>
      <c r="F35" s="241">
        <f>-'Hypothèses tréso.'!$B$37*'Hypothèses tréso.'!G37</f>
        <v>0</v>
      </c>
      <c r="G35" s="241">
        <f>-'Hypothèses tréso.'!$B$37*'Hypothèses tréso.'!H37</f>
        <v>0</v>
      </c>
      <c r="H35" s="241">
        <f>-'Hypothèses tréso.'!$B$37*'Hypothèses tréso.'!I37</f>
        <v>0</v>
      </c>
      <c r="I35" s="241">
        <f>-'Hypothèses tréso.'!$B$37*'Hypothèses tréso.'!J37</f>
        <v>0</v>
      </c>
      <c r="J35" s="241">
        <f>-'Hypothèses tréso.'!$B$37*'Hypothèses tréso.'!K37</f>
        <v>0</v>
      </c>
      <c r="K35" s="241">
        <f>-'Hypothèses tréso.'!$B$37*'Hypothèses tréso.'!L37</f>
        <v>0</v>
      </c>
      <c r="L35" s="241">
        <f>-'Hypothèses tréso.'!$B$37*'Hypothèses tréso.'!M37</f>
        <v>0</v>
      </c>
      <c r="M35" s="230">
        <f>-'Hypothèses tréso.'!$B$37*'Hypothèses tréso.'!N37</f>
        <v>-32.084500000000006</v>
      </c>
    </row>
    <row r="36" spans="1:16">
      <c r="A36" s="236" t="s">
        <v>15</v>
      </c>
      <c r="B36" s="228">
        <v>0</v>
      </c>
      <c r="C36" s="229">
        <f>+'CDR mensuel'!C24*'Hypothèses tréso.'!C38</f>
        <v>-115.00000000000001</v>
      </c>
      <c r="D36" s="229">
        <f>+'CDR mensuel'!D24*'Hypothèses tréso.'!C38</f>
        <v>-1</v>
      </c>
      <c r="E36" s="228">
        <v>0</v>
      </c>
      <c r="F36" s="228">
        <v>0</v>
      </c>
      <c r="G36" s="229">
        <f>+'CDR mensuel'!G24*'Hypothèses tréso.'!C38</f>
        <v>-70</v>
      </c>
      <c r="H36" s="228">
        <f>+'CDR mensuel'!H24*'Hypothèses tréso.'!C38</f>
        <v>0</v>
      </c>
      <c r="I36" s="228">
        <f>+'CDR mensuel'!I24*'Hypothèses tréso.'!C38</f>
        <v>0</v>
      </c>
      <c r="J36" s="229">
        <f>+'CDR mensuel'!J24*'Hypothèses tréso.'!C38</f>
        <v>-70</v>
      </c>
      <c r="K36" s="228">
        <f>+'CDR mensuel'!K24*'Hypothèses tréso.'!C38</f>
        <v>0</v>
      </c>
      <c r="L36" s="229">
        <f>+'CDR mensuel'!L24*'Hypothèses tréso.'!C38</f>
        <v>-94</v>
      </c>
      <c r="M36" s="229">
        <f>+'CDR mensuel'!M24*'Hypothèses tréso.'!C38</f>
        <v>-16</v>
      </c>
    </row>
    <row r="37" spans="1:16">
      <c r="A37" s="236" t="s">
        <v>179</v>
      </c>
      <c r="B37" s="228">
        <v>0</v>
      </c>
      <c r="C37" s="228">
        <v>0</v>
      </c>
      <c r="D37" s="228">
        <v>0</v>
      </c>
      <c r="E37" s="228">
        <v>0</v>
      </c>
      <c r="F37" s="228">
        <v>0</v>
      </c>
      <c r="G37" s="230" t="e">
        <f t="shared" ref="G37:M37" si="5">-((((F4+F5)/1.196)*0.196)+((SUM(F9:F25)-F18)/1.196*0.196))</f>
        <v>#REF!</v>
      </c>
      <c r="H37" s="230" t="e">
        <f t="shared" si="5"/>
        <v>#REF!</v>
      </c>
      <c r="I37" s="230" t="e">
        <f t="shared" si="5"/>
        <v>#REF!</v>
      </c>
      <c r="J37" s="230" t="e">
        <f t="shared" si="5"/>
        <v>#REF!</v>
      </c>
      <c r="K37" s="230" t="e">
        <f t="shared" si="5"/>
        <v>#REF!</v>
      </c>
      <c r="L37" s="230" t="e">
        <f t="shared" si="5"/>
        <v>#REF!</v>
      </c>
      <c r="M37" s="229" t="e">
        <f t="shared" si="5"/>
        <v>#REF!</v>
      </c>
    </row>
    <row r="38" spans="1:16">
      <c r="A38" s="236" t="s">
        <v>16</v>
      </c>
      <c r="B38" s="230">
        <v>-373.83</v>
      </c>
      <c r="C38" s="229">
        <f>+'CDR mensuel'!C25*'Hypothèses tréso.'!C40</f>
        <v>-440.54969574036511</v>
      </c>
      <c r="D38" s="229">
        <f>+'CDR mensuel'!D25*'Hypothèses tréso.'!C40</f>
        <v>-440.54969574036511</v>
      </c>
      <c r="E38" s="229">
        <f>+'CDR mensuel'!E25*'Hypothèses tréso.'!C40</f>
        <v>-440.54969574036511</v>
      </c>
      <c r="F38" s="229">
        <f>+'CDR mensuel'!F25*'Hypothèses tréso.'!C40</f>
        <v>-440.54969574036511</v>
      </c>
      <c r="G38" s="229">
        <f>+'CDR mensuel'!G25*'Hypothèses tréso.'!C40</f>
        <v>-677.7687626774848</v>
      </c>
      <c r="H38" s="229">
        <f>+'CDR mensuel'!H25*'Hypothèses tréso.'!C40</f>
        <v>-440.54969574036511</v>
      </c>
      <c r="I38" s="229">
        <f>+'CDR mensuel'!I25*'Hypothèses tréso.'!C40</f>
        <v>-440.54969574036511</v>
      </c>
      <c r="J38" s="229">
        <f>+'CDR mensuel'!J25*'Hypothèses tréso.'!C40</f>
        <v>-440.54969574036511</v>
      </c>
      <c r="K38" s="229">
        <f>+'CDR mensuel'!K25*'Hypothèses tréso.'!C40</f>
        <v>-440.54969574036511</v>
      </c>
      <c r="L38" s="229">
        <f>+'CDR mensuel'!L25*'Hypothèses tréso.'!C40</f>
        <v>-440.54969574036511</v>
      </c>
      <c r="M38" s="229">
        <f>+'CDR mensuel'!M25*'Hypothèses tréso.'!C40</f>
        <v>-677.7687626774848</v>
      </c>
    </row>
    <row r="39" spans="1:16">
      <c r="A39" s="236" t="s">
        <v>218</v>
      </c>
      <c r="B39" s="229">
        <f>-(751+292506)/1000</f>
        <v>-293.25700000000001</v>
      </c>
      <c r="C39" s="229">
        <f>+'CDR mensuel'!B26*'Hypothèses tréso.'!D41-(150315.4+27806.21)/1000</f>
        <v>-226.25455263891095</v>
      </c>
      <c r="D39" s="229">
        <f>+'CDR mensuel'!C26*'Hypothèses tréso.'!E41</f>
        <v>-48.132942638910983</v>
      </c>
      <c r="E39" s="229">
        <f>+'CDR mensuel'!D26*'Hypothèses tréso.'!F41</f>
        <v>-106.694902464359</v>
      </c>
      <c r="F39" s="229">
        <f>+'CDR mensuel'!E26*'Hypothèses tréso.'!G41</f>
        <v>-48.132942638910983</v>
      </c>
      <c r="G39" s="229">
        <f>+'CDR mensuel'!F26*'Hypothèses tréso.'!H41</f>
        <v>-141.04540677658443</v>
      </c>
      <c r="H39" s="229">
        <f>+'CDR mensuel'!G26*'Hypothèses tréso.'!I41</f>
        <v>-481.0019626097295</v>
      </c>
      <c r="I39" s="229">
        <f>+'CDR mensuel'!H26*'Hypothèses tréso.'!J41</f>
        <v>-141.04540677658443</v>
      </c>
      <c r="J39" s="229">
        <f>+'CDR mensuel'!I26*'Hypothèses tréso.'!K41</f>
        <v>-141.04540677658443</v>
      </c>
      <c r="K39" s="229">
        <f>+'CDR mensuel'!J26*'Hypothèses tréso.'!L41</f>
        <v>-312.65127569632421</v>
      </c>
      <c r="L39" s="229">
        <f>+'CDR mensuel'!K26*'Hypothèses tréso.'!M41</f>
        <v>-141.04540677658443</v>
      </c>
      <c r="M39" s="229">
        <f>+'CDR mensuel'!L26*'Hypothèses tréso.'!N41</f>
        <v>-141.04540677658443</v>
      </c>
    </row>
    <row r="40" spans="1:16" ht="3.5" customHeight="1">
      <c r="A40" s="225"/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</row>
    <row r="41" spans="1:16" s="235" customFormat="1">
      <c r="A41" s="231" t="s">
        <v>180</v>
      </c>
      <c r="B41" s="239">
        <f>SUM(B28:B29)+SUM(B34:B39)</f>
        <v>-721.22450000000003</v>
      </c>
      <c r="C41" s="239">
        <f t="shared" ref="C41:L41" si="6">SUM(C28:C29)+SUM(C34:C39)</f>
        <v>-1609.104248379276</v>
      </c>
      <c r="D41" s="239">
        <f t="shared" si="6"/>
        <v>-598.37597171260938</v>
      </c>
      <c r="E41" s="239">
        <f t="shared" si="6"/>
        <v>-682.77543153805743</v>
      </c>
      <c r="F41" s="239">
        <f t="shared" si="6"/>
        <v>-840.86597171260939</v>
      </c>
      <c r="G41" s="239" t="e">
        <f t="shared" si="6"/>
        <v>#REF!</v>
      </c>
      <c r="H41" s="239" t="e">
        <f t="shared" si="6"/>
        <v>#REF!</v>
      </c>
      <c r="I41" s="239" t="e">
        <f t="shared" si="6"/>
        <v>#REF!</v>
      </c>
      <c r="J41" s="239" t="e">
        <f t="shared" si="6"/>
        <v>#REF!</v>
      </c>
      <c r="K41" s="239" t="e">
        <f t="shared" si="6"/>
        <v>#REF!</v>
      </c>
      <c r="L41" s="239" t="e">
        <f t="shared" si="6"/>
        <v>#REF!</v>
      </c>
      <c r="M41" s="239" t="e">
        <f>SUM(M28:M29)+SUM(M34:M39)</f>
        <v>#REF!</v>
      </c>
      <c r="N41" s="234"/>
      <c r="O41" s="234"/>
      <c r="P41" s="234"/>
    </row>
    <row r="42" spans="1:16" ht="3.5" customHeight="1">
      <c r="A42" s="225"/>
      <c r="B42" s="226"/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</row>
    <row r="43" spans="1:16">
      <c r="A43" s="223" t="s">
        <v>181</v>
      </c>
      <c r="B43" s="224">
        <f>+B41+B26+B9</f>
        <v>-1285.94587</v>
      </c>
      <c r="C43" s="224" t="e">
        <f t="shared" ref="C43:M43" si="7">+C41+C26+C9</f>
        <v>#REF!</v>
      </c>
      <c r="D43" s="224" t="e">
        <f t="shared" si="7"/>
        <v>#REF!</v>
      </c>
      <c r="E43" s="224" t="e">
        <f t="shared" si="7"/>
        <v>#REF!</v>
      </c>
      <c r="F43" s="224" t="e">
        <f t="shared" si="7"/>
        <v>#REF!</v>
      </c>
      <c r="G43" s="224" t="e">
        <f t="shared" si="7"/>
        <v>#REF!</v>
      </c>
      <c r="H43" s="224" t="e">
        <f t="shared" si="7"/>
        <v>#REF!</v>
      </c>
      <c r="I43" s="224" t="e">
        <f t="shared" si="7"/>
        <v>#REF!</v>
      </c>
      <c r="J43" s="224" t="e">
        <f t="shared" si="7"/>
        <v>#REF!</v>
      </c>
      <c r="K43" s="224" t="e">
        <f t="shared" si="7"/>
        <v>#REF!</v>
      </c>
      <c r="L43" s="224" t="e">
        <f t="shared" si="7"/>
        <v>#REF!</v>
      </c>
      <c r="M43" s="224" t="e">
        <f t="shared" si="7"/>
        <v>#REF!</v>
      </c>
    </row>
    <row r="44" spans="1:16">
      <c r="A44" s="236" t="s">
        <v>219</v>
      </c>
      <c r="B44" s="229" t="e">
        <f>+B8+B43</f>
        <v>#REF!</v>
      </c>
      <c r="C44" s="229" t="e">
        <f t="shared" ref="C44:M44" si="8">+C8+C43</f>
        <v>#REF!</v>
      </c>
      <c r="D44" s="229" t="e">
        <f t="shared" si="8"/>
        <v>#REF!</v>
      </c>
      <c r="E44" s="229" t="e">
        <f t="shared" si="8"/>
        <v>#REF!</v>
      </c>
      <c r="F44" s="229" t="e">
        <f t="shared" si="8"/>
        <v>#REF!</v>
      </c>
      <c r="G44" s="229" t="e">
        <f t="shared" si="8"/>
        <v>#REF!</v>
      </c>
      <c r="H44" s="229" t="e">
        <f t="shared" si="8"/>
        <v>#REF!</v>
      </c>
      <c r="I44" s="229" t="e">
        <f t="shared" si="8"/>
        <v>#REF!</v>
      </c>
      <c r="J44" s="229" t="e">
        <f t="shared" si="8"/>
        <v>#REF!</v>
      </c>
      <c r="K44" s="229" t="e">
        <f t="shared" si="8"/>
        <v>#REF!</v>
      </c>
      <c r="L44" s="229" t="e">
        <f t="shared" si="8"/>
        <v>#REF!</v>
      </c>
      <c r="M44" s="229" t="e">
        <f t="shared" si="8"/>
        <v>#REF!</v>
      </c>
    </row>
    <row r="45" spans="1:16">
      <c r="A45" s="242" t="s">
        <v>220</v>
      </c>
      <c r="B45" s="243" t="e">
        <f>+B2+B44</f>
        <v>#REF!</v>
      </c>
      <c r="C45" s="243" t="e">
        <f t="shared" ref="C45:M45" si="9">+C2+C44</f>
        <v>#REF!</v>
      </c>
      <c r="D45" s="243" t="e">
        <f t="shared" si="9"/>
        <v>#REF!</v>
      </c>
      <c r="E45" s="243" t="e">
        <f t="shared" si="9"/>
        <v>#REF!</v>
      </c>
      <c r="F45" s="243" t="e">
        <f t="shared" si="9"/>
        <v>#REF!</v>
      </c>
      <c r="G45" s="243" t="e">
        <f>+G2+G44</f>
        <v>#REF!</v>
      </c>
      <c r="H45" s="243" t="e">
        <f t="shared" si="9"/>
        <v>#REF!</v>
      </c>
      <c r="I45" s="243" t="e">
        <f t="shared" si="9"/>
        <v>#REF!</v>
      </c>
      <c r="J45" s="243" t="e">
        <f t="shared" si="9"/>
        <v>#REF!</v>
      </c>
      <c r="K45" s="243" t="e">
        <f t="shared" si="9"/>
        <v>#REF!</v>
      </c>
      <c r="L45" s="243" t="e">
        <f t="shared" si="9"/>
        <v>#REF!</v>
      </c>
      <c r="M45" s="243" t="e">
        <f t="shared" si="9"/>
        <v>#REF!</v>
      </c>
    </row>
    <row r="46" spans="1:16" ht="3.5" customHeight="1">
      <c r="A46" s="225"/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</row>
    <row r="47" spans="1:16" s="4" customFormat="1">
      <c r="A47" s="236" t="s">
        <v>15</v>
      </c>
      <c r="B47" s="228">
        <f>+'Hypothèses tréso.'!$B$49*'Hypothèses tréso.'!C49</f>
        <v>0</v>
      </c>
      <c r="C47" s="228">
        <f>+'Hypothèses tréso.'!$B$49*'Hypothèses tréso.'!D49</f>
        <v>0</v>
      </c>
      <c r="D47" s="228">
        <f>+'Hypothèses tréso.'!$B$49*'Hypothèses tréso.'!E49</f>
        <v>0</v>
      </c>
      <c r="E47" s="228">
        <f>+'Hypothèses tréso.'!$B$49*'Hypothèses tréso.'!F49</f>
        <v>0</v>
      </c>
      <c r="F47" s="228">
        <f>+'Hypothèses tréso.'!$B$49*'Hypothèses tréso.'!G49</f>
        <v>0</v>
      </c>
      <c r="G47" s="229">
        <f>-'Hypothèses tréso.'!$B$49*'Hypothèses tréso.'!H49</f>
        <v>-0.86915555555555546</v>
      </c>
      <c r="H47" s="229">
        <f>-'Hypothèses tréso.'!$B$49*'Hypothèses tréso.'!I49</f>
        <v>-0.86915555555555546</v>
      </c>
      <c r="I47" s="229">
        <f>-'Hypothèses tréso.'!$B$49*'Hypothèses tréso.'!J49</f>
        <v>-0.86915555555555546</v>
      </c>
      <c r="J47" s="229">
        <f>-'Hypothèses tréso.'!$B$49*'Hypothèses tréso.'!K49</f>
        <v>-0.86915555555555546</v>
      </c>
      <c r="K47" s="229">
        <f>-'Hypothèses tréso.'!$B$49*'Hypothèses tréso.'!L49</f>
        <v>-0.86915555555555546</v>
      </c>
      <c r="L47" s="229">
        <f>-'Hypothèses tréso.'!$B$49*'Hypothèses tréso.'!M49</f>
        <v>-0.86915555555555546</v>
      </c>
      <c r="M47" s="229">
        <f>-'Hypothèses tréso.'!$B$49*'Hypothèses tréso.'!N49</f>
        <v>-0.86915555555555546</v>
      </c>
    </row>
    <row r="48" spans="1:16" s="4" customFormat="1">
      <c r="A48" s="236" t="s">
        <v>179</v>
      </c>
      <c r="B48" s="228">
        <f>+'Hypothèses tréso.'!$B$52*'Hypothèses tréso.'!C52</f>
        <v>0</v>
      </c>
      <c r="C48" s="228">
        <f>+'Hypothèses tréso.'!$B$52*'Hypothèses tréso.'!D52</f>
        <v>0</v>
      </c>
      <c r="D48" s="228">
        <f>+'Hypothèses tréso.'!$B$52*'Hypothèses tréso.'!E52</f>
        <v>0</v>
      </c>
      <c r="E48" s="228">
        <f>+'Hypothèses tréso.'!$B$52*'Hypothèses tréso.'!F52</f>
        <v>0</v>
      </c>
      <c r="F48" s="228">
        <f>+'Hypothèses tréso.'!$B$52*'Hypothèses tréso.'!G52</f>
        <v>0</v>
      </c>
      <c r="G48" s="229">
        <f>-'Hypothèses tréso.'!$B$52*'Hypothèses tréso.'!H52</f>
        <v>-19.574147945412992</v>
      </c>
      <c r="H48" s="229">
        <f>-'Hypothèses tréso.'!$B$52*'Hypothèses tréso.'!I52</f>
        <v>-19.574147945412992</v>
      </c>
      <c r="I48" s="229">
        <f>-'Hypothèses tréso.'!$B$52*'Hypothèses tréso.'!J52</f>
        <v>-19.574147945412992</v>
      </c>
      <c r="J48" s="229">
        <f>-'Hypothèses tréso.'!$B$52*'Hypothèses tréso.'!K52</f>
        <v>-19.574147945412992</v>
      </c>
      <c r="K48" s="229">
        <f>-'Hypothèses tréso.'!$B$52*'Hypothèses tréso.'!L52</f>
        <v>-19.574147945412992</v>
      </c>
      <c r="L48" s="229">
        <f>-'Hypothèses tréso.'!$B$52*'Hypothèses tréso.'!M52</f>
        <v>-19.574147945412992</v>
      </c>
      <c r="M48" s="229">
        <f>-'Hypothèses tréso.'!$B$52*'Hypothèses tréso.'!N52</f>
        <v>-19.574147945412992</v>
      </c>
    </row>
    <row r="49" spans="1:13" s="4" customFormat="1">
      <c r="A49" s="244" t="s">
        <v>186</v>
      </c>
      <c r="B49" s="228">
        <f>-'Hypothèses tréso.'!$B$53*'Hypothèses tréso.'!C53</f>
        <v>0</v>
      </c>
      <c r="C49" s="228">
        <f>-'Hypothèses tréso.'!$B$53*'Hypothèses tréso.'!D53</f>
        <v>0</v>
      </c>
      <c r="D49" s="228">
        <f>-'Hypothèses tréso.'!$B$53*'Hypothèses tréso.'!E53</f>
        <v>0</v>
      </c>
      <c r="E49" s="228">
        <f>-'Hypothèses tréso.'!$B$53*'Hypothèses tréso.'!F53</f>
        <v>0</v>
      </c>
      <c r="F49" s="228">
        <f>-'Hypothèses tréso.'!$B$53*'Hypothèses tréso.'!G53</f>
        <v>0</v>
      </c>
      <c r="G49" s="229">
        <f>-'Hypothèses tréso.'!$B$53*'Hypothèses tréso.'!H53</f>
        <v>-19.683527777777776</v>
      </c>
      <c r="H49" s="229">
        <f>-'Hypothèses tréso.'!$B$53*'Hypothèses tréso.'!I53</f>
        <v>-19.683527777777776</v>
      </c>
      <c r="I49" s="229">
        <f>-'Hypothèses tréso.'!$B$53*'Hypothèses tréso.'!J53</f>
        <v>-19.683527777777776</v>
      </c>
      <c r="J49" s="229">
        <f>-'Hypothèses tréso.'!$B$53*'Hypothèses tréso.'!K53</f>
        <v>-19.683527777777776</v>
      </c>
      <c r="K49" s="229">
        <f>-'Hypothèses tréso.'!$B$53*'Hypothèses tréso.'!L53</f>
        <v>-19.683527777777776</v>
      </c>
      <c r="L49" s="229">
        <f>-'Hypothèses tréso.'!$B$53*'Hypothèses tréso.'!M53</f>
        <v>-19.683527777777776</v>
      </c>
      <c r="M49" s="229">
        <f>-'Hypothèses tréso.'!$B$53*'Hypothèses tréso.'!N53</f>
        <v>-19.683527777777776</v>
      </c>
    </row>
    <row r="50" spans="1:13" ht="3.5" customHeight="1">
      <c r="A50" s="225"/>
      <c r="B50" s="226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</row>
    <row r="51" spans="1:13">
      <c r="A51" s="223" t="s">
        <v>187</v>
      </c>
      <c r="B51" s="245">
        <f t="shared" ref="B51:M51" si="10">SUM(B46:B50)</f>
        <v>0</v>
      </c>
      <c r="C51" s="245">
        <f t="shared" si="10"/>
        <v>0</v>
      </c>
      <c r="D51" s="245">
        <f t="shared" si="10"/>
        <v>0</v>
      </c>
      <c r="E51" s="245">
        <f t="shared" si="10"/>
        <v>0</v>
      </c>
      <c r="F51" s="245">
        <f t="shared" si="10"/>
        <v>0</v>
      </c>
      <c r="G51" s="224">
        <f t="shared" si="10"/>
        <v>-40.126831278746323</v>
      </c>
      <c r="H51" s="224">
        <f t="shared" si="10"/>
        <v>-40.126831278746323</v>
      </c>
      <c r="I51" s="224">
        <f t="shared" si="10"/>
        <v>-40.126831278746323</v>
      </c>
      <c r="J51" s="224">
        <f t="shared" si="10"/>
        <v>-40.126831278746323</v>
      </c>
      <c r="K51" s="224">
        <f t="shared" si="10"/>
        <v>-40.126831278746323</v>
      </c>
      <c r="L51" s="224">
        <f t="shared" si="10"/>
        <v>-40.126831278746323</v>
      </c>
      <c r="M51" s="224">
        <f t="shared" si="10"/>
        <v>-40.126831278746323</v>
      </c>
    </row>
    <row r="52" spans="1:13" s="4" customFormat="1">
      <c r="A52" s="244" t="s">
        <v>188</v>
      </c>
      <c r="B52" s="228">
        <f>-'Hypothèses tréso.'!$B$55*'Hypothèses tréso.'!C55</f>
        <v>0</v>
      </c>
      <c r="C52" s="228">
        <f>-'Hypothèses tréso.'!$B$55*'Hypothèses tréso.'!D55</f>
        <v>0</v>
      </c>
      <c r="D52" s="228">
        <f>-'Hypothèses tréso.'!$B$55*'Hypothèses tréso.'!E55</f>
        <v>0</v>
      </c>
      <c r="E52" s="228">
        <f>-'Hypothèses tréso.'!$B$55*'Hypothèses tréso.'!F55</f>
        <v>0</v>
      </c>
      <c r="F52" s="228">
        <f>-'Hypothèses tréso.'!$B$55*'Hypothèses tréso.'!G55</f>
        <v>0</v>
      </c>
      <c r="G52" s="229">
        <f>-'Hypothèses tréso.'!$B$55*'Hypothèses tréso.'!H55</f>
        <v>-12.101027777777777</v>
      </c>
      <c r="H52" s="229">
        <f>-'Hypothèses tréso.'!$B$55*'Hypothèses tréso.'!I55</f>
        <v>-12.101027777777777</v>
      </c>
      <c r="I52" s="229">
        <f>-'Hypothèses tréso.'!$B$55*'Hypothèses tréso.'!J55</f>
        <v>-12.101027777777777</v>
      </c>
      <c r="J52" s="229">
        <f>-'Hypothèses tréso.'!$B$55*'Hypothèses tréso.'!K55</f>
        <v>-12.101027777777777</v>
      </c>
      <c r="K52" s="229">
        <f>-'Hypothèses tréso.'!$B$55*'Hypothèses tréso.'!L55</f>
        <v>-12.101027777777777</v>
      </c>
      <c r="L52" s="229">
        <f>-'Hypothèses tréso.'!$B$55*'Hypothèses tréso.'!M55</f>
        <v>-12.101027777777777</v>
      </c>
      <c r="M52" s="229">
        <f>-'Hypothèses tréso.'!$B$55*'Hypothèses tréso.'!N55</f>
        <v>-12.101027777777777</v>
      </c>
    </row>
    <row r="53" spans="1:13">
      <c r="A53" s="246" t="s">
        <v>221</v>
      </c>
      <c r="B53" s="247" t="e">
        <f>+B45+B51+B52</f>
        <v>#REF!</v>
      </c>
      <c r="C53" s="247" t="e">
        <f t="shared" ref="C53:F53" si="11">+C45+C51+C52</f>
        <v>#REF!</v>
      </c>
      <c r="D53" s="247" t="e">
        <f t="shared" si="11"/>
        <v>#REF!</v>
      </c>
      <c r="E53" s="247" t="e">
        <f t="shared" si="11"/>
        <v>#REF!</v>
      </c>
      <c r="F53" s="247" t="e">
        <f t="shared" si="11"/>
        <v>#REF!</v>
      </c>
      <c r="G53" s="247" t="e">
        <f>+G45+G51+G52</f>
        <v>#REF!</v>
      </c>
      <c r="H53" s="247" t="e">
        <f t="shared" ref="H53:M53" si="12">+H45+H51+H52</f>
        <v>#REF!</v>
      </c>
      <c r="I53" s="247" t="e">
        <f t="shared" si="12"/>
        <v>#REF!</v>
      </c>
      <c r="J53" s="247" t="e">
        <f t="shared" si="12"/>
        <v>#REF!</v>
      </c>
      <c r="K53" s="247" t="e">
        <f t="shared" si="12"/>
        <v>#REF!</v>
      </c>
      <c r="L53" s="247" t="e">
        <f t="shared" si="12"/>
        <v>#REF!</v>
      </c>
      <c r="M53" s="247" t="e">
        <f t="shared" si="12"/>
        <v>#REF!</v>
      </c>
    </row>
    <row r="54" spans="1:1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s="4" customFormat="1"/>
    <row r="57" spans="1:13" s="4" customFormat="1"/>
    <row r="58" spans="1:13" s="4" customFormat="1">
      <c r="C58" s="248"/>
      <c r="D58" s="248"/>
    </row>
    <row r="59" spans="1:13" s="4" customFormat="1"/>
    <row r="60" spans="1:13">
      <c r="B60" s="4"/>
      <c r="C60" s="4"/>
      <c r="D60" s="4"/>
      <c r="E60" s="4"/>
    </row>
    <row r="61" spans="1:13">
      <c r="B61" s="4"/>
      <c r="C61" s="4"/>
      <c r="D61" s="4"/>
      <c r="E61" s="4"/>
    </row>
    <row r="62" spans="1:13">
      <c r="B62" s="4"/>
      <c r="C62" s="4"/>
      <c r="D62" s="4"/>
      <c r="E62" s="4"/>
    </row>
    <row r="63" spans="1:13">
      <c r="B63" s="4"/>
      <c r="C63" s="4"/>
      <c r="D63" s="4"/>
      <c r="E63" s="186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workbookViewId="0">
      <selection activeCell="W64" sqref="W64"/>
    </sheetView>
  </sheetViews>
  <sheetFormatPr baseColWidth="10" defaultRowHeight="14" outlineLevelRow="1" outlineLevelCol="1" x14ac:dyDescent="0"/>
  <cols>
    <col min="1" max="1" width="33" bestFit="1" customWidth="1"/>
    <col min="2" max="2" width="3" style="10" customWidth="1"/>
    <col min="3" max="4" width="11.5" hidden="1" customWidth="1" outlineLevel="1"/>
    <col min="5" max="5" width="8" bestFit="1" customWidth="1" collapsed="1"/>
    <col min="6" max="6" width="5.5" bestFit="1" customWidth="1"/>
    <col min="7" max="7" width="3" style="142" customWidth="1"/>
    <col min="8" max="8" width="8" bestFit="1" customWidth="1"/>
    <col min="9" max="9" width="5.5" bestFit="1" customWidth="1"/>
    <col min="10" max="11" width="6.83203125" bestFit="1" customWidth="1"/>
    <col min="12" max="12" width="3" customWidth="1"/>
    <col min="13" max="13" width="8" bestFit="1" customWidth="1" outlineLevel="1"/>
    <col min="14" max="14" width="5.5" bestFit="1" customWidth="1" outlineLevel="1"/>
    <col min="15" max="15" width="3" customWidth="1"/>
    <col min="16" max="16" width="8" bestFit="1" customWidth="1"/>
    <col min="17" max="17" width="5.5" bestFit="1" customWidth="1"/>
    <col min="18" max="19" width="6.83203125" bestFit="1" customWidth="1"/>
  </cols>
  <sheetData>
    <row r="1" spans="1:21">
      <c r="A1" s="302" t="s">
        <v>20</v>
      </c>
      <c r="B1" s="249"/>
      <c r="C1" s="301">
        <v>2008</v>
      </c>
      <c r="D1" s="299" t="s">
        <v>80</v>
      </c>
      <c r="E1" s="301">
        <v>2009</v>
      </c>
      <c r="F1" s="299" t="s">
        <v>80</v>
      </c>
      <c r="G1" s="72"/>
      <c r="H1" s="301">
        <v>2009</v>
      </c>
      <c r="I1" s="299" t="s">
        <v>80</v>
      </c>
      <c r="J1" s="307" t="s">
        <v>81</v>
      </c>
      <c r="K1" s="299" t="s">
        <v>82</v>
      </c>
      <c r="L1" s="72"/>
      <c r="M1" s="301">
        <v>2010</v>
      </c>
      <c r="N1" s="299" t="s">
        <v>80</v>
      </c>
      <c r="O1" s="72"/>
      <c r="P1" s="301">
        <v>2010</v>
      </c>
      <c r="Q1" s="299" t="s">
        <v>80</v>
      </c>
      <c r="R1" s="307" t="s">
        <v>81</v>
      </c>
      <c r="S1" s="299" t="s">
        <v>82</v>
      </c>
    </row>
    <row r="2" spans="1:21">
      <c r="A2" s="302"/>
      <c r="B2" s="249"/>
      <c r="C2" s="301"/>
      <c r="D2" s="299"/>
      <c r="E2" s="301"/>
      <c r="F2" s="299"/>
      <c r="G2" s="72"/>
      <c r="H2" s="301"/>
      <c r="I2" s="299"/>
      <c r="J2" s="307"/>
      <c r="K2" s="299"/>
      <c r="L2" s="72"/>
      <c r="M2" s="301"/>
      <c r="N2" s="299"/>
      <c r="O2" s="72"/>
      <c r="P2" s="312"/>
      <c r="Q2" s="306"/>
      <c r="R2" s="308"/>
      <c r="S2" s="306"/>
    </row>
    <row r="3" spans="1:21">
      <c r="A3" s="73"/>
      <c r="B3" s="250"/>
      <c r="C3" s="73"/>
      <c r="D3" s="70"/>
      <c r="E3" s="309" t="s">
        <v>222</v>
      </c>
      <c r="F3" s="309"/>
      <c r="G3" s="72"/>
      <c r="H3" s="309" t="s">
        <v>223</v>
      </c>
      <c r="I3" s="309"/>
      <c r="J3" s="251"/>
      <c r="K3" s="70"/>
      <c r="L3" s="72"/>
      <c r="M3" s="309" t="s">
        <v>224</v>
      </c>
      <c r="N3" s="309"/>
      <c r="O3" s="72"/>
      <c r="P3" s="310" t="s">
        <v>225</v>
      </c>
      <c r="Q3" s="311"/>
      <c r="R3" s="252"/>
      <c r="S3" s="70"/>
    </row>
    <row r="4" spans="1:21" hidden="1" outlineLevel="1">
      <c r="A4" s="74" t="s">
        <v>0</v>
      </c>
      <c r="B4" s="253"/>
      <c r="C4" s="75">
        <f>25420.184</f>
        <v>25420.184000000001</v>
      </c>
      <c r="D4" s="77">
        <f>C4/C4</f>
        <v>1</v>
      </c>
      <c r="E4" s="75"/>
      <c r="F4" s="77"/>
      <c r="G4" s="76"/>
      <c r="H4" s="75">
        <f>26725.578</f>
        <v>26725.578000000001</v>
      </c>
      <c r="I4" s="77">
        <f>H4/H4</f>
        <v>1</v>
      </c>
      <c r="J4" s="254"/>
      <c r="K4" s="77"/>
      <c r="L4" s="76"/>
      <c r="M4" s="75"/>
      <c r="N4" s="77"/>
      <c r="O4" s="76"/>
      <c r="P4" s="75">
        <f>'P&amp;L_2010_et_2011'!G4</f>
        <v>22555.600000000002</v>
      </c>
      <c r="Q4" s="77">
        <f>P4/$P$8</f>
        <v>1</v>
      </c>
      <c r="R4" s="255"/>
      <c r="S4" s="77"/>
    </row>
    <row r="5" spans="1:21" hidden="1" outlineLevel="1">
      <c r="A5" s="74" t="s">
        <v>226</v>
      </c>
      <c r="B5" s="253"/>
      <c r="C5" s="114"/>
      <c r="D5" s="86"/>
      <c r="E5" s="114"/>
      <c r="F5" s="86"/>
      <c r="G5" s="112"/>
      <c r="H5" s="114"/>
      <c r="I5" s="86"/>
      <c r="J5" s="254"/>
      <c r="K5" s="77"/>
      <c r="L5" s="76"/>
      <c r="M5" s="114"/>
      <c r="N5" s="86"/>
      <c r="O5" s="76"/>
      <c r="P5" s="114"/>
      <c r="Q5" s="77"/>
      <c r="R5" s="255"/>
      <c r="S5" s="77"/>
    </row>
    <row r="6" spans="1:21" hidden="1" outlineLevel="1">
      <c r="A6" s="74" t="s">
        <v>85</v>
      </c>
      <c r="B6" s="253"/>
      <c r="C6" s="114"/>
      <c r="D6" s="86"/>
      <c r="E6" s="114"/>
      <c r="F6" s="86"/>
      <c r="G6" s="112"/>
      <c r="H6" s="114"/>
      <c r="I6" s="86"/>
      <c r="J6" s="254"/>
      <c r="K6" s="77"/>
      <c r="L6" s="76"/>
      <c r="M6" s="114"/>
      <c r="N6" s="86"/>
      <c r="O6" s="76"/>
      <c r="P6" s="114"/>
      <c r="Q6" s="77"/>
      <c r="R6" s="255"/>
      <c r="S6" s="77"/>
    </row>
    <row r="7" spans="1:21" hidden="1" outlineLevel="1">
      <c r="A7" s="74"/>
      <c r="B7" s="253"/>
      <c r="C7" s="75"/>
      <c r="D7" s="77"/>
      <c r="E7" s="75"/>
      <c r="F7" s="77"/>
      <c r="G7" s="76"/>
      <c r="H7" s="75"/>
      <c r="I7" s="77"/>
      <c r="J7" s="256"/>
      <c r="K7" s="77"/>
      <c r="L7" s="76"/>
      <c r="M7" s="75"/>
      <c r="N7" s="77"/>
      <c r="O7" s="76"/>
      <c r="P7" s="75"/>
      <c r="Q7" s="77"/>
      <c r="R7" s="257"/>
      <c r="S7" s="77"/>
    </row>
    <row r="8" spans="1:21" collapsed="1">
      <c r="A8" s="92" t="s">
        <v>1</v>
      </c>
      <c r="B8" s="258"/>
      <c r="C8" s="93">
        <f>SUM(C4:C7)</f>
        <v>25420.184000000001</v>
      </c>
      <c r="D8" s="95">
        <f>D4</f>
        <v>1</v>
      </c>
      <c r="E8" s="93">
        <v>27680</v>
      </c>
      <c r="F8" s="95">
        <f>E8/E8</f>
        <v>1</v>
      </c>
      <c r="G8" s="85"/>
      <c r="H8" s="93">
        <f>SUM(H4:H7)</f>
        <v>26725.578000000001</v>
      </c>
      <c r="I8" s="95">
        <f>H8/H8</f>
        <v>1</v>
      </c>
      <c r="J8" s="259">
        <f>H8-E8</f>
        <v>-954.42199999999866</v>
      </c>
      <c r="K8" s="95">
        <f>(H8-E8)/E8</f>
        <v>-3.4480563583814981E-2</v>
      </c>
      <c r="L8" s="85"/>
      <c r="M8" s="93">
        <v>23460</v>
      </c>
      <c r="N8" s="95">
        <f>M8/M8</f>
        <v>1</v>
      </c>
      <c r="O8" s="85"/>
      <c r="P8" s="93">
        <f>SUM(P4:P7)</f>
        <v>22555.600000000002</v>
      </c>
      <c r="Q8" s="95">
        <f>+P8/P8</f>
        <v>1</v>
      </c>
      <c r="R8" s="260">
        <f>P8-M8</f>
        <v>-904.39999999999782</v>
      </c>
      <c r="S8" s="95">
        <f>(P8-M8)/M8</f>
        <v>-3.8550724637681069E-2</v>
      </c>
    </row>
    <row r="9" spans="1:21">
      <c r="A9" s="99"/>
      <c r="B9" s="261"/>
      <c r="C9" s="84"/>
      <c r="D9" s="70"/>
      <c r="E9" s="84"/>
      <c r="F9" s="70"/>
      <c r="G9" s="72"/>
      <c r="H9" s="84"/>
      <c r="I9" s="70"/>
      <c r="J9" s="251"/>
      <c r="K9" s="77"/>
      <c r="L9" s="76"/>
      <c r="M9" s="84"/>
      <c r="N9" s="70"/>
      <c r="O9" s="76"/>
      <c r="P9" s="84"/>
      <c r="Q9" s="70"/>
      <c r="R9" s="252"/>
      <c r="S9" s="77"/>
    </row>
    <row r="10" spans="1:21">
      <c r="A10" s="101" t="s">
        <v>66</v>
      </c>
      <c r="B10" s="262"/>
      <c r="C10" s="75">
        <f>-8522.299+4.6</f>
        <v>-8517.6990000000005</v>
      </c>
      <c r="D10" s="103">
        <f>-C10/$C$4</f>
        <v>0.3350762134530576</v>
      </c>
      <c r="E10" s="75">
        <f>-4100</f>
        <v>-4100</v>
      </c>
      <c r="F10" s="103">
        <f t="shared" ref="F10:F31" si="0">-E10/$E$8</f>
        <v>0.14812138728323698</v>
      </c>
      <c r="G10" s="102"/>
      <c r="H10" s="75">
        <f>-3899.595+43.9</f>
        <v>-3855.6949999999997</v>
      </c>
      <c r="I10" s="103">
        <f>-H10/$H$8</f>
        <v>0.14426984516480801</v>
      </c>
      <c r="J10" s="254">
        <f>H10-E10</f>
        <v>244.30500000000029</v>
      </c>
      <c r="K10" s="77">
        <f>(H10-E10)/E10</f>
        <v>-5.9586585365853727E-2</v>
      </c>
      <c r="L10" s="76"/>
      <c r="M10" s="75">
        <v>-1610</v>
      </c>
      <c r="N10" s="103">
        <f>-M10/$M$8</f>
        <v>6.8627450980392163E-2</v>
      </c>
      <c r="O10" s="76"/>
      <c r="P10" s="75">
        <f>'P&amp;L_2010_et_2011'!G12</f>
        <v>-2707.3</v>
      </c>
      <c r="Q10" s="103">
        <f>-P10/$P$8</f>
        <v>0.12002784230967033</v>
      </c>
      <c r="R10" s="255">
        <f>P10-M10</f>
        <v>-1097.3000000000002</v>
      </c>
      <c r="S10" s="77">
        <f>(P10-M10)/M10</f>
        <v>0.68155279503105604</v>
      </c>
    </row>
    <row r="11" spans="1:21" hidden="1" outlineLevel="1">
      <c r="A11" s="263" t="s">
        <v>2</v>
      </c>
      <c r="B11" s="264"/>
      <c r="C11" s="265">
        <f>-1187.97-140.534</f>
        <v>-1328.5039999999999</v>
      </c>
      <c r="D11" s="266">
        <f t="shared" ref="D11:D31" si="1">-C11/$C$4</f>
        <v>5.226177749146111E-2</v>
      </c>
      <c r="E11" s="265"/>
      <c r="F11" s="103">
        <f t="shared" si="0"/>
        <v>0</v>
      </c>
      <c r="G11" s="267"/>
      <c r="H11" s="265">
        <v>-2589.0520000000001</v>
      </c>
      <c r="I11" s="266">
        <f t="shared" ref="I11:I31" si="2">-H11/$H$4</f>
        <v>9.6875435210419025E-2</v>
      </c>
      <c r="J11" s="268">
        <f t="shared" ref="J11:J31" si="3">H11-E11</f>
        <v>-2589.0520000000001</v>
      </c>
      <c r="K11" s="81" t="e">
        <f t="shared" ref="K11:K31" si="4">(H11-E11)/E11</f>
        <v>#DIV/0!</v>
      </c>
      <c r="L11" s="82"/>
      <c r="M11" s="265">
        <f>-1187.97-140.534</f>
        <v>-1328.5039999999999</v>
      </c>
      <c r="N11" s="103">
        <f t="shared" ref="N11:N32" si="5">-M11/$M$8</f>
        <v>5.6628473998294966E-2</v>
      </c>
      <c r="O11" s="82"/>
      <c r="P11" s="265">
        <f>'P&amp;L_2010_et_2011'!G10</f>
        <v>-255</v>
      </c>
      <c r="Q11" s="103">
        <f t="shared" ref="Q11:Q32" si="6">-P11/$P$8</f>
        <v>1.1305396442568585E-2</v>
      </c>
      <c r="R11" s="269">
        <f t="shared" ref="R11:R26" si="7">P11-M11</f>
        <v>1073.5039999999999</v>
      </c>
      <c r="S11" s="81">
        <f t="shared" ref="S11:S26" si="8">(P11-M11)/M11</f>
        <v>-0.80805477439285089</v>
      </c>
    </row>
    <row r="12" spans="1:21" hidden="1" outlineLevel="1">
      <c r="A12" s="263" t="s">
        <v>91</v>
      </c>
      <c r="B12" s="264"/>
      <c r="C12" s="265">
        <v>140.53399999999999</v>
      </c>
      <c r="D12" s="266">
        <f t="shared" si="1"/>
        <v>-5.5284414935784882E-3</v>
      </c>
      <c r="E12" s="265"/>
      <c r="F12" s="103">
        <f t="shared" si="0"/>
        <v>0</v>
      </c>
      <c r="G12" s="267"/>
      <c r="H12" s="265">
        <v>-168.46299999999999</v>
      </c>
      <c r="I12" s="266">
        <f t="shared" si="2"/>
        <v>6.3034371043350305E-3</v>
      </c>
      <c r="J12" s="268">
        <f t="shared" si="3"/>
        <v>-168.46299999999999</v>
      </c>
      <c r="K12" s="81" t="e">
        <f t="shared" si="4"/>
        <v>#DIV/0!</v>
      </c>
      <c r="L12" s="82"/>
      <c r="M12" s="265">
        <v>140.53399999999999</v>
      </c>
      <c r="N12" s="103">
        <f t="shared" si="5"/>
        <v>-5.9903665814151743E-3</v>
      </c>
      <c r="O12" s="82"/>
      <c r="P12" s="265">
        <f>'P&amp;L_2010_et_2011'!G11</f>
        <v>-120.746</v>
      </c>
      <c r="Q12" s="103">
        <f t="shared" si="6"/>
        <v>5.3532603876642604E-3</v>
      </c>
      <c r="R12" s="269">
        <f t="shared" si="7"/>
        <v>-261.27999999999997</v>
      </c>
      <c r="S12" s="81">
        <f t="shared" si="8"/>
        <v>-1.8591942163462223</v>
      </c>
    </row>
    <row r="13" spans="1:21" hidden="1" outlineLevel="1">
      <c r="A13" s="263" t="s">
        <v>95</v>
      </c>
      <c r="B13" s="264"/>
      <c r="C13" s="265">
        <v>-2516.9859999999999</v>
      </c>
      <c r="D13" s="266">
        <f t="shared" si="1"/>
        <v>9.9015254964322827E-2</v>
      </c>
      <c r="E13" s="265"/>
      <c r="F13" s="103">
        <f t="shared" si="0"/>
        <v>0</v>
      </c>
      <c r="G13" s="267"/>
      <c r="H13" s="265">
        <v>-3305.6770000000001</v>
      </c>
      <c r="I13" s="266">
        <f t="shared" si="2"/>
        <v>0.12368963544960562</v>
      </c>
      <c r="J13" s="268">
        <f t="shared" si="3"/>
        <v>-3305.6770000000001</v>
      </c>
      <c r="K13" s="81" t="e">
        <f t="shared" si="4"/>
        <v>#DIV/0!</v>
      </c>
      <c r="L13" s="82"/>
      <c r="M13" s="265">
        <v>-2516.9859999999999</v>
      </c>
      <c r="N13" s="103">
        <f t="shared" si="5"/>
        <v>0.10728840579710144</v>
      </c>
      <c r="O13" s="82"/>
      <c r="P13" s="265">
        <f>'P&amp;L_2010_et_2011'!G13</f>
        <v>-3708.6</v>
      </c>
      <c r="Q13" s="103">
        <f t="shared" si="6"/>
        <v>0.1644203656741563</v>
      </c>
      <c r="R13" s="269">
        <f t="shared" si="7"/>
        <v>-1191.614</v>
      </c>
      <c r="S13" s="81">
        <f t="shared" si="8"/>
        <v>0.473428934447788</v>
      </c>
    </row>
    <row r="14" spans="1:21" hidden="1" outlineLevel="1">
      <c r="A14" s="263" t="s">
        <v>3</v>
      </c>
      <c r="B14" s="264"/>
      <c r="C14" s="265">
        <v>-116.688</v>
      </c>
      <c r="D14" s="266">
        <f t="shared" si="1"/>
        <v>4.5903680319544496E-3</v>
      </c>
      <c r="E14" s="265"/>
      <c r="F14" s="103">
        <f t="shared" si="0"/>
        <v>0</v>
      </c>
      <c r="G14" s="267"/>
      <c r="H14" s="265">
        <v>-116.666</v>
      </c>
      <c r="I14" s="266">
        <f t="shared" si="2"/>
        <v>4.365331219403374E-3</v>
      </c>
      <c r="J14" s="268">
        <f t="shared" si="3"/>
        <v>-116.666</v>
      </c>
      <c r="K14" s="81" t="e">
        <f t="shared" si="4"/>
        <v>#DIV/0!</v>
      </c>
      <c r="L14" s="82"/>
      <c r="M14" s="265">
        <v>-116.688</v>
      </c>
      <c r="N14" s="103">
        <f t="shared" si="5"/>
        <v>4.9739130434782609E-3</v>
      </c>
      <c r="O14" s="82"/>
      <c r="P14" s="265">
        <f>'P&amp;L_2010_et_2011'!G14</f>
        <v>-183</v>
      </c>
      <c r="Q14" s="103">
        <f t="shared" si="6"/>
        <v>8.1132845058433378E-3</v>
      </c>
      <c r="R14" s="269">
        <f t="shared" si="7"/>
        <v>-66.311999999999998</v>
      </c>
      <c r="S14" s="81">
        <f t="shared" si="8"/>
        <v>0.56828465651995064</v>
      </c>
    </row>
    <row r="15" spans="1:21" hidden="1" outlineLevel="1">
      <c r="A15" s="263" t="s">
        <v>33</v>
      </c>
      <c r="B15" s="264"/>
      <c r="C15" s="265">
        <v>-141.83099999999999</v>
      </c>
      <c r="D15" s="266">
        <f t="shared" si="1"/>
        <v>5.5794639409376418E-3</v>
      </c>
      <c r="E15" s="265"/>
      <c r="F15" s="103">
        <f t="shared" si="0"/>
        <v>0</v>
      </c>
      <c r="G15" s="267"/>
      <c r="H15" s="265">
        <v>-321.08699999999999</v>
      </c>
      <c r="I15" s="266">
        <f t="shared" si="2"/>
        <v>1.2014220983359086E-2</v>
      </c>
      <c r="J15" s="268">
        <f t="shared" si="3"/>
        <v>-321.08699999999999</v>
      </c>
      <c r="K15" s="81" t="e">
        <f t="shared" si="4"/>
        <v>#DIV/0!</v>
      </c>
      <c r="L15" s="82"/>
      <c r="M15" s="265">
        <v>-141.83099999999999</v>
      </c>
      <c r="N15" s="103">
        <f t="shared" si="5"/>
        <v>6.0456521739130431E-3</v>
      </c>
      <c r="O15" s="82"/>
      <c r="P15" s="265">
        <f>'P&amp;L_2010_et_2011'!G15</f>
        <v>-278.2</v>
      </c>
      <c r="Q15" s="103">
        <f t="shared" si="6"/>
        <v>1.2333965844402276E-2</v>
      </c>
      <c r="R15" s="269">
        <f t="shared" si="7"/>
        <v>-136.369</v>
      </c>
      <c r="S15" s="81">
        <f t="shared" si="8"/>
        <v>0.96148937820363678</v>
      </c>
    </row>
    <row r="16" spans="1:21" hidden="1" outlineLevel="1">
      <c r="A16" s="263" t="s">
        <v>4</v>
      </c>
      <c r="B16" s="264"/>
      <c r="C16" s="265">
        <v>-795.97799999999995</v>
      </c>
      <c r="D16" s="266">
        <f t="shared" si="1"/>
        <v>3.1312833927559292E-2</v>
      </c>
      <c r="E16" s="265"/>
      <c r="F16" s="103">
        <f t="shared" si="0"/>
        <v>0</v>
      </c>
      <c r="G16" s="267"/>
      <c r="H16" s="265">
        <v>-1423.606</v>
      </c>
      <c r="I16" s="266">
        <f t="shared" si="2"/>
        <v>5.3267547665386314E-2</v>
      </c>
      <c r="J16" s="268">
        <f t="shared" si="3"/>
        <v>-1423.606</v>
      </c>
      <c r="K16" s="81" t="e">
        <f t="shared" si="4"/>
        <v>#DIV/0!</v>
      </c>
      <c r="L16" s="82"/>
      <c r="M16" s="265">
        <v>-795.97799999999995</v>
      </c>
      <c r="N16" s="103">
        <f t="shared" si="5"/>
        <v>3.392915601023018E-2</v>
      </c>
      <c r="O16" s="82"/>
      <c r="P16" s="265">
        <f>'P&amp;L_2010_et_2011'!G16</f>
        <v>-2051</v>
      </c>
      <c r="Q16" s="103">
        <f t="shared" si="6"/>
        <v>9.0930855308659478E-2</v>
      </c>
      <c r="R16" s="269">
        <f t="shared" si="7"/>
        <v>-1255.0219999999999</v>
      </c>
      <c r="S16" s="81">
        <f t="shared" si="8"/>
        <v>1.5767043812768695</v>
      </c>
      <c r="U16" s="101" t="s">
        <v>4</v>
      </c>
    </row>
    <row r="17" spans="1:21" hidden="1" outlineLevel="1">
      <c r="A17" s="263" t="s">
        <v>5</v>
      </c>
      <c r="B17" s="264"/>
      <c r="C17" s="265">
        <v>-65.066999999999993</v>
      </c>
      <c r="D17" s="266">
        <f t="shared" si="1"/>
        <v>2.5596588915328066E-3</v>
      </c>
      <c r="E17" s="265"/>
      <c r="F17" s="103">
        <f t="shared" si="0"/>
        <v>0</v>
      </c>
      <c r="G17" s="267"/>
      <c r="H17" s="265">
        <v>-68.376999999999995</v>
      </c>
      <c r="I17" s="266">
        <f t="shared" si="2"/>
        <v>2.5584853581089992E-3</v>
      </c>
      <c r="J17" s="268">
        <f t="shared" si="3"/>
        <v>-68.376999999999995</v>
      </c>
      <c r="K17" s="81" t="e">
        <f t="shared" si="4"/>
        <v>#DIV/0!</v>
      </c>
      <c r="L17" s="82"/>
      <c r="M17" s="265">
        <v>-65.066999999999993</v>
      </c>
      <c r="N17" s="103">
        <f t="shared" si="5"/>
        <v>2.7735294117647055E-3</v>
      </c>
      <c r="O17" s="82"/>
      <c r="P17" s="265">
        <f>'P&amp;L_2010_et_2011'!G17</f>
        <v>-73.3</v>
      </c>
      <c r="Q17" s="103">
        <f t="shared" si="6"/>
        <v>3.249747291138342E-3</v>
      </c>
      <c r="R17" s="269">
        <f t="shared" si="7"/>
        <v>-8.2330000000000041</v>
      </c>
      <c r="S17" s="81">
        <f t="shared" si="8"/>
        <v>0.12653111408240744</v>
      </c>
      <c r="U17" s="101" t="s">
        <v>5</v>
      </c>
    </row>
    <row r="18" spans="1:21" hidden="1" outlineLevel="1">
      <c r="A18" s="263" t="s">
        <v>6</v>
      </c>
      <c r="B18" s="264"/>
      <c r="C18" s="265">
        <f>-8.34-3.894</f>
        <v>-12.234</v>
      </c>
      <c r="D18" s="266">
        <f t="shared" si="1"/>
        <v>4.8127110330908695E-4</v>
      </c>
      <c r="E18" s="265"/>
      <c r="F18" s="103">
        <f t="shared" si="0"/>
        <v>0</v>
      </c>
      <c r="G18" s="267"/>
      <c r="H18" s="265">
        <f>-4.909-3.389</f>
        <v>-8.298</v>
      </c>
      <c r="I18" s="266">
        <f t="shared" si="2"/>
        <v>3.1048907529708058E-4</v>
      </c>
      <c r="J18" s="268">
        <f t="shared" si="3"/>
        <v>-8.298</v>
      </c>
      <c r="K18" s="81" t="e">
        <f t="shared" si="4"/>
        <v>#DIV/0!</v>
      </c>
      <c r="L18" s="82"/>
      <c r="M18" s="265">
        <f>-8.34-3.894</f>
        <v>-12.234</v>
      </c>
      <c r="N18" s="103">
        <f t="shared" si="5"/>
        <v>5.2148337595907929E-4</v>
      </c>
      <c r="O18" s="82"/>
      <c r="P18" s="265">
        <f>'P&amp;L_2010_et_2011'!G18</f>
        <v>-13.05</v>
      </c>
      <c r="Q18" s="103">
        <f t="shared" si="6"/>
        <v>5.7857028853145116E-4</v>
      </c>
      <c r="R18" s="269">
        <f t="shared" si="7"/>
        <v>-0.81600000000000072</v>
      </c>
      <c r="S18" s="81">
        <f t="shared" si="8"/>
        <v>6.6699362432565037E-2</v>
      </c>
      <c r="U18" s="101" t="s">
        <v>6</v>
      </c>
    </row>
    <row r="19" spans="1:21" hidden="1" outlineLevel="1">
      <c r="A19" s="263" t="s">
        <v>7</v>
      </c>
      <c r="B19" s="264"/>
      <c r="C19" s="265">
        <v>-61.575000000000003</v>
      </c>
      <c r="D19" s="266">
        <f t="shared" si="1"/>
        <v>2.422287737964446E-3</v>
      </c>
      <c r="E19" s="265"/>
      <c r="F19" s="103">
        <f t="shared" si="0"/>
        <v>0</v>
      </c>
      <c r="G19" s="267"/>
      <c r="H19" s="265">
        <v>-92.902000000000001</v>
      </c>
      <c r="I19" s="266">
        <f t="shared" si="2"/>
        <v>3.476145586074883E-3</v>
      </c>
      <c r="J19" s="268">
        <f t="shared" si="3"/>
        <v>-92.902000000000001</v>
      </c>
      <c r="K19" s="81" t="e">
        <f t="shared" si="4"/>
        <v>#DIV/0!</v>
      </c>
      <c r="L19" s="82"/>
      <c r="M19" s="265">
        <v>-61.575000000000003</v>
      </c>
      <c r="N19" s="103">
        <f t="shared" si="5"/>
        <v>2.6246803069053708E-3</v>
      </c>
      <c r="O19" s="82"/>
      <c r="P19" s="265">
        <f>'P&amp;L_2010_et_2011'!G19</f>
        <v>-123.9</v>
      </c>
      <c r="Q19" s="103">
        <f t="shared" si="6"/>
        <v>5.4930926244480304E-3</v>
      </c>
      <c r="R19" s="269">
        <f t="shared" si="7"/>
        <v>-62.325000000000003</v>
      </c>
      <c r="S19" s="81">
        <f t="shared" si="8"/>
        <v>1.0121802679658953</v>
      </c>
      <c r="U19" s="101" t="s">
        <v>7</v>
      </c>
    </row>
    <row r="20" spans="1:21" hidden="1" outlineLevel="1">
      <c r="A20" s="263" t="s">
        <v>8</v>
      </c>
      <c r="B20" s="264"/>
      <c r="C20" s="265">
        <v>-8.8829999999999991</v>
      </c>
      <c r="D20" s="266">
        <f t="shared" si="1"/>
        <v>3.4944672312364061E-4</v>
      </c>
      <c r="E20" s="265"/>
      <c r="F20" s="103">
        <f t="shared" si="0"/>
        <v>0</v>
      </c>
      <c r="G20" s="267"/>
      <c r="H20" s="265">
        <v>-11.369</v>
      </c>
      <c r="I20" s="266">
        <f t="shared" si="2"/>
        <v>4.2539772198752819E-4</v>
      </c>
      <c r="J20" s="268">
        <f t="shared" si="3"/>
        <v>-11.369</v>
      </c>
      <c r="K20" s="81" t="e">
        <f t="shared" si="4"/>
        <v>#DIV/0!</v>
      </c>
      <c r="L20" s="82"/>
      <c r="M20" s="265">
        <v>-8.8829999999999991</v>
      </c>
      <c r="N20" s="103">
        <f t="shared" si="5"/>
        <v>3.7864450127877232E-4</v>
      </c>
      <c r="O20" s="82"/>
      <c r="P20" s="265">
        <f>'P&amp;L_2010_et_2011'!G20</f>
        <v>-0.9</v>
      </c>
      <c r="Q20" s="103">
        <f t="shared" si="6"/>
        <v>3.9901399209065595E-5</v>
      </c>
      <c r="R20" s="269">
        <f t="shared" si="7"/>
        <v>7.9829999999999988</v>
      </c>
      <c r="S20" s="81">
        <f t="shared" si="8"/>
        <v>-0.89868287740628161</v>
      </c>
      <c r="U20" s="101" t="s">
        <v>8</v>
      </c>
    </row>
    <row r="21" spans="1:21" hidden="1" outlineLevel="1">
      <c r="A21" s="263" t="s">
        <v>9</v>
      </c>
      <c r="B21" s="264"/>
      <c r="C21" s="265">
        <v>-697.45899999999995</v>
      </c>
      <c r="D21" s="266">
        <f t="shared" si="1"/>
        <v>2.7437212885634499E-2</v>
      </c>
      <c r="E21" s="265"/>
      <c r="F21" s="103">
        <f t="shared" si="0"/>
        <v>0</v>
      </c>
      <c r="G21" s="267"/>
      <c r="H21" s="265">
        <v>-912.63300000000004</v>
      </c>
      <c r="I21" s="266">
        <f t="shared" si="2"/>
        <v>3.4148297933911852E-2</v>
      </c>
      <c r="J21" s="268">
        <f t="shared" si="3"/>
        <v>-912.63300000000004</v>
      </c>
      <c r="K21" s="81" t="e">
        <f t="shared" si="4"/>
        <v>#DIV/0!</v>
      </c>
      <c r="L21" s="82"/>
      <c r="M21" s="265">
        <v>-697.45899999999995</v>
      </c>
      <c r="N21" s="103">
        <f t="shared" si="5"/>
        <v>2.9729710144927535E-2</v>
      </c>
      <c r="O21" s="82"/>
      <c r="P21" s="265">
        <f>'P&amp;L_2010_et_2011'!G21</f>
        <v>-742.6</v>
      </c>
      <c r="Q21" s="103">
        <f t="shared" si="6"/>
        <v>3.2923087836280125E-2</v>
      </c>
      <c r="R21" s="269">
        <f t="shared" si="7"/>
        <v>-45.141000000000076</v>
      </c>
      <c r="S21" s="81">
        <f t="shared" si="8"/>
        <v>6.4722084022143356E-2</v>
      </c>
      <c r="U21" s="101" t="s">
        <v>9</v>
      </c>
    </row>
    <row r="22" spans="1:21" hidden="1" outlineLevel="1">
      <c r="A22" s="263" t="s">
        <v>10</v>
      </c>
      <c r="B22" s="264"/>
      <c r="C22" s="265">
        <f>-2075.77-344.316</f>
        <v>-2420.0859999999998</v>
      </c>
      <c r="D22" s="266">
        <f t="shared" si="1"/>
        <v>9.5203323469255752E-2</v>
      </c>
      <c r="E22" s="265"/>
      <c r="F22" s="103">
        <f t="shared" si="0"/>
        <v>0</v>
      </c>
      <c r="G22" s="267"/>
      <c r="H22" s="265">
        <f>-2494.895-426.933</f>
        <v>-2921.828</v>
      </c>
      <c r="I22" s="266">
        <f t="shared" si="2"/>
        <v>0.10932702746410199</v>
      </c>
      <c r="J22" s="268">
        <f t="shared" si="3"/>
        <v>-2921.828</v>
      </c>
      <c r="K22" s="81" t="e">
        <f t="shared" si="4"/>
        <v>#DIV/0!</v>
      </c>
      <c r="L22" s="270"/>
      <c r="M22" s="265">
        <f>-2075.77-344.316</f>
        <v>-2420.0859999999998</v>
      </c>
      <c r="N22" s="103">
        <f t="shared" si="5"/>
        <v>0.10315797101449274</v>
      </c>
      <c r="O22" s="270"/>
      <c r="P22" s="265">
        <f>'P&amp;L_2010_et_2011'!G22</f>
        <v>-3833.1000000000004</v>
      </c>
      <c r="Q22" s="103">
        <f t="shared" si="6"/>
        <v>0.16994005923141037</v>
      </c>
      <c r="R22" s="269">
        <f t="shared" si="7"/>
        <v>-1413.0140000000006</v>
      </c>
      <c r="S22" s="81">
        <f t="shared" si="8"/>
        <v>0.58386933356913795</v>
      </c>
      <c r="U22" s="101" t="s">
        <v>10</v>
      </c>
    </row>
    <row r="23" spans="1:21" hidden="1" outlineLevel="1">
      <c r="A23" s="263" t="s">
        <v>11</v>
      </c>
      <c r="B23" s="264"/>
      <c r="C23" s="265">
        <v>-1479.5129999999999</v>
      </c>
      <c r="D23" s="266">
        <f t="shared" si="1"/>
        <v>5.8202293106926366E-2</v>
      </c>
      <c r="E23" s="265"/>
      <c r="F23" s="103">
        <f t="shared" si="0"/>
        <v>0</v>
      </c>
      <c r="G23" s="267"/>
      <c r="H23" s="265">
        <v>-2220.9490000000001</v>
      </c>
      <c r="I23" s="266">
        <f t="shared" si="2"/>
        <v>8.3102000637741119E-2</v>
      </c>
      <c r="J23" s="268">
        <f t="shared" si="3"/>
        <v>-2220.9490000000001</v>
      </c>
      <c r="K23" s="81" t="e">
        <f t="shared" si="4"/>
        <v>#DIV/0!</v>
      </c>
      <c r="L23" s="270"/>
      <c r="M23" s="265">
        <v>-1479.5129999999999</v>
      </c>
      <c r="N23" s="103">
        <f t="shared" si="5"/>
        <v>6.3065345268542197E-2</v>
      </c>
      <c r="O23" s="270"/>
      <c r="P23" s="265">
        <f>'P&amp;L_2010_et_2011'!G23</f>
        <v>-1935.1999999999998</v>
      </c>
      <c r="Q23" s="103">
        <f t="shared" si="6"/>
        <v>8.5796875277093038E-2</v>
      </c>
      <c r="R23" s="269">
        <f t="shared" si="7"/>
        <v>-455.6869999999999</v>
      </c>
      <c r="S23" s="81">
        <f t="shared" si="8"/>
        <v>0.30799796960215958</v>
      </c>
      <c r="U23" s="101" t="s">
        <v>11</v>
      </c>
    </row>
    <row r="24" spans="1:21" hidden="1" outlineLevel="1">
      <c r="A24" s="263" t="s">
        <v>12</v>
      </c>
      <c r="B24" s="264"/>
      <c r="C24" s="80">
        <v>-278.93099999999998</v>
      </c>
      <c r="D24" s="266">
        <f t="shared" si="1"/>
        <v>1.0972815932410245E-2</v>
      </c>
      <c r="E24" s="80"/>
      <c r="F24" s="103">
        <f t="shared" si="0"/>
        <v>0</v>
      </c>
      <c r="G24" s="267"/>
      <c r="H24" s="80">
        <v>-406.65100000000001</v>
      </c>
      <c r="I24" s="266">
        <f t="shared" si="2"/>
        <v>1.5215798139145953E-2</v>
      </c>
      <c r="J24" s="268">
        <f t="shared" si="3"/>
        <v>-406.65100000000001</v>
      </c>
      <c r="K24" s="81" t="e">
        <f t="shared" si="4"/>
        <v>#DIV/0!</v>
      </c>
      <c r="L24" s="270"/>
      <c r="M24" s="80">
        <v>-278.93099999999998</v>
      </c>
      <c r="N24" s="103">
        <f t="shared" si="5"/>
        <v>1.1889641943734014E-2</v>
      </c>
      <c r="O24" s="270"/>
      <c r="P24" s="265">
        <f>'P&amp;L_2010_et_2011'!G24</f>
        <v>-479.5</v>
      </c>
      <c r="Q24" s="103">
        <f t="shared" si="6"/>
        <v>2.1258578800829948E-2</v>
      </c>
      <c r="R24" s="269">
        <f t="shared" si="7"/>
        <v>-200.56900000000002</v>
      </c>
      <c r="S24" s="81">
        <f t="shared" si="8"/>
        <v>0.71906313747844464</v>
      </c>
      <c r="U24" s="101" t="s">
        <v>12</v>
      </c>
    </row>
    <row r="25" spans="1:21" hidden="1" outlineLevel="1">
      <c r="A25" s="263" t="s">
        <v>13</v>
      </c>
      <c r="B25" s="264"/>
      <c r="C25" s="265">
        <f>-211.107-16.12-21.608-23.592-45.156-0.722</f>
        <v>-318.30500000000001</v>
      </c>
      <c r="D25" s="266">
        <f t="shared" si="1"/>
        <v>1.2521742564884661E-2</v>
      </c>
      <c r="E25" s="265"/>
      <c r="F25" s="103">
        <f t="shared" si="0"/>
        <v>0</v>
      </c>
      <c r="G25" s="267"/>
      <c r="H25" s="265">
        <f>-270.507-22.352-13.845-1.026-11.651-1.77</f>
        <v>-321.15100000000001</v>
      </c>
      <c r="I25" s="266">
        <f t="shared" si="2"/>
        <v>1.2016615693026358E-2</v>
      </c>
      <c r="J25" s="268">
        <f t="shared" si="3"/>
        <v>-321.15100000000001</v>
      </c>
      <c r="K25" s="81" t="e">
        <f t="shared" si="4"/>
        <v>#DIV/0!</v>
      </c>
      <c r="L25" s="82"/>
      <c r="M25" s="265">
        <f>-211.107-16.12-21.608-23.592-45.156-0.722</f>
        <v>-318.30500000000001</v>
      </c>
      <c r="N25" s="103">
        <f t="shared" si="5"/>
        <v>1.3567988064791134E-2</v>
      </c>
      <c r="O25" s="82"/>
      <c r="P25" s="265">
        <f>'P&amp;L_2010_et_2011'!G25</f>
        <v>-292</v>
      </c>
      <c r="Q25" s="103">
        <f t="shared" si="6"/>
        <v>1.2945787298941282E-2</v>
      </c>
      <c r="R25" s="269">
        <f t="shared" si="7"/>
        <v>26.305000000000007</v>
      </c>
      <c r="S25" s="81">
        <f t="shared" si="8"/>
        <v>-8.264086332291358E-2</v>
      </c>
      <c r="U25" s="101" t="s">
        <v>13</v>
      </c>
    </row>
    <row r="26" spans="1:21" hidden="1" outlineLevel="1">
      <c r="A26" s="263" t="s">
        <v>14</v>
      </c>
      <c r="B26" s="264"/>
      <c r="C26" s="265">
        <v>-26.657</v>
      </c>
      <c r="D26" s="266">
        <f t="shared" si="1"/>
        <v>1.0486548799174703E-3</v>
      </c>
      <c r="E26" s="265"/>
      <c r="F26" s="103">
        <f t="shared" si="0"/>
        <v>0</v>
      </c>
      <c r="G26" s="267"/>
      <c r="H26" s="265">
        <v>-46.847999999999999</v>
      </c>
      <c r="I26" s="266">
        <f t="shared" si="2"/>
        <v>1.7529274764422305E-3</v>
      </c>
      <c r="J26" s="268">
        <f t="shared" si="3"/>
        <v>-46.847999999999999</v>
      </c>
      <c r="K26" s="81" t="e">
        <f t="shared" si="4"/>
        <v>#DIV/0!</v>
      </c>
      <c r="L26" s="82"/>
      <c r="M26" s="265">
        <v>-26.657</v>
      </c>
      <c r="N26" s="103">
        <f t="shared" si="5"/>
        <v>1.1362745098039216E-3</v>
      </c>
      <c r="O26" s="82"/>
      <c r="P26" s="265">
        <f>'P&amp;L_2010_et_2011'!G26</f>
        <v>-35.6</v>
      </c>
      <c r="Q26" s="103">
        <f t="shared" si="6"/>
        <v>1.5783220131585947E-3</v>
      </c>
      <c r="R26" s="269">
        <f t="shared" si="7"/>
        <v>-8.9430000000000014</v>
      </c>
      <c r="S26" s="81">
        <f t="shared" si="8"/>
        <v>0.33548411299095926</v>
      </c>
      <c r="U26" s="101" t="s">
        <v>14</v>
      </c>
    </row>
    <row r="27" spans="1:21" hidden="1" outlineLevel="1">
      <c r="A27" s="263" t="s">
        <v>21</v>
      </c>
      <c r="B27" s="264"/>
      <c r="C27" s="265">
        <f>96.067-2.637</f>
        <v>93.429999999999993</v>
      </c>
      <c r="D27" s="266">
        <f>-C27/$C$8</f>
        <v>-3.6754257955017157E-3</v>
      </c>
      <c r="E27" s="265"/>
      <c r="F27" s="103">
        <f t="shared" si="0"/>
        <v>0</v>
      </c>
      <c r="G27" s="267"/>
      <c r="H27" s="265">
        <f>87.019-131.788</f>
        <v>-44.769000000000005</v>
      </c>
      <c r="I27" s="266">
        <f>-H27/$H$8</f>
        <v>1.6751368295944808E-3</v>
      </c>
      <c r="J27" s="268">
        <f>H27-E27</f>
        <v>-44.769000000000005</v>
      </c>
      <c r="K27" s="81" t="e">
        <f>(H27-E27)/E27</f>
        <v>#DIV/0!</v>
      </c>
      <c r="L27" s="82"/>
      <c r="M27" s="265">
        <f>96.067-2.637</f>
        <v>93.429999999999993</v>
      </c>
      <c r="N27" s="103">
        <f t="shared" si="5"/>
        <v>-3.9825234441602728E-3</v>
      </c>
      <c r="O27" s="82"/>
      <c r="P27" s="265">
        <f>'P&amp;L_2010_et_2011'!G35</f>
        <v>0</v>
      </c>
      <c r="Q27" s="103">
        <f t="shared" si="6"/>
        <v>0</v>
      </c>
      <c r="R27" s="269">
        <f>P27-M27</f>
        <v>-93.429999999999993</v>
      </c>
      <c r="S27" s="81">
        <f>(P27-M27)/M27</f>
        <v>-1</v>
      </c>
      <c r="U27" s="101" t="s">
        <v>15</v>
      </c>
    </row>
    <row r="28" spans="1:21" collapsed="1">
      <c r="A28" s="101" t="s">
        <v>227</v>
      </c>
      <c r="B28" s="262"/>
      <c r="C28" s="75"/>
      <c r="D28" s="103"/>
      <c r="E28" s="75">
        <f>-13005-1000</f>
        <v>-14005</v>
      </c>
      <c r="F28" s="103">
        <f t="shared" si="0"/>
        <v>0.5059609826589595</v>
      </c>
      <c r="G28" s="102"/>
      <c r="H28" s="75">
        <f>SUM(H11:H27)</f>
        <v>-14980.326000000001</v>
      </c>
      <c r="I28" s="103">
        <f>-H28/$H$8</f>
        <v>0.56052392954794095</v>
      </c>
      <c r="J28" s="254">
        <f>H28-E28</f>
        <v>-975.32600000000093</v>
      </c>
      <c r="K28" s="77">
        <f>(H28-E28)/E28</f>
        <v>6.9641270974651975E-2</v>
      </c>
      <c r="L28" s="76"/>
      <c r="M28" s="75">
        <f>-10230-992</f>
        <v>-11222</v>
      </c>
      <c r="N28" s="103">
        <f t="shared" si="5"/>
        <v>0.47834612105711849</v>
      </c>
      <c r="O28" s="76"/>
      <c r="P28" s="75">
        <f>SUM(P11:P27)</f>
        <v>-14125.696000000002</v>
      </c>
      <c r="Q28" s="103">
        <f t="shared" si="6"/>
        <v>0.6262611502243346</v>
      </c>
      <c r="R28" s="255">
        <f>P28-M28</f>
        <v>-2903.6960000000017</v>
      </c>
      <c r="S28" s="77">
        <f>(P28-M28)/M28</f>
        <v>0.25875031188736425</v>
      </c>
      <c r="U28" s="101"/>
    </row>
    <row r="29" spans="1:21">
      <c r="A29" s="101" t="s">
        <v>15</v>
      </c>
      <c r="B29" s="262"/>
      <c r="C29" s="75">
        <v>-353.03500000000003</v>
      </c>
      <c r="D29" s="103">
        <f t="shared" si="1"/>
        <v>1.388797972508775E-2</v>
      </c>
      <c r="E29" s="75">
        <v>-384</v>
      </c>
      <c r="F29" s="103">
        <f t="shared" si="0"/>
        <v>1.3872832369942197E-2</v>
      </c>
      <c r="G29" s="102"/>
      <c r="H29" s="75">
        <v>-410.41</v>
      </c>
      <c r="I29" s="103">
        <f t="shared" si="2"/>
        <v>1.5356449914759561E-2</v>
      </c>
      <c r="J29" s="254">
        <f>H29-E29</f>
        <v>-26.410000000000025</v>
      </c>
      <c r="K29" s="77">
        <f t="shared" si="4"/>
        <v>6.8776041666666732E-2</v>
      </c>
      <c r="L29" s="76"/>
      <c r="M29" s="75">
        <v>-326</v>
      </c>
      <c r="N29" s="103">
        <f t="shared" si="5"/>
        <v>1.3895993179880647E-2</v>
      </c>
      <c r="O29" s="76"/>
      <c r="P29" s="75">
        <f>'P&amp;L_2010_et_2011'!G27</f>
        <v>-381.1</v>
      </c>
      <c r="Q29" s="103">
        <f t="shared" si="6"/>
        <v>1.6896025820638778E-2</v>
      </c>
      <c r="R29" s="255">
        <f>P29-M29</f>
        <v>-55.100000000000023</v>
      </c>
      <c r="S29" s="77">
        <f t="shared" ref="S29:S31" si="9">(P29-M29)/M29</f>
        <v>0.16901840490797554</v>
      </c>
      <c r="U29" s="101"/>
    </row>
    <row r="30" spans="1:21" s="32" customFormat="1" ht="12" hidden="1" outlineLevel="1">
      <c r="A30" s="263" t="s">
        <v>16</v>
      </c>
      <c r="B30" s="264"/>
      <c r="C30" s="265">
        <v>-3642.6280000000002</v>
      </c>
      <c r="D30" s="266">
        <f t="shared" si="1"/>
        <v>0.14329668109404717</v>
      </c>
      <c r="E30" s="265"/>
      <c r="F30" s="103">
        <f t="shared" si="0"/>
        <v>0</v>
      </c>
      <c r="G30" s="267"/>
      <c r="H30" s="265">
        <v>-4218.152</v>
      </c>
      <c r="I30" s="266">
        <f t="shared" si="2"/>
        <v>0.15783202144402639</v>
      </c>
      <c r="J30" s="268">
        <f t="shared" si="3"/>
        <v>-4218.152</v>
      </c>
      <c r="K30" s="81" t="e">
        <f t="shared" si="4"/>
        <v>#DIV/0!</v>
      </c>
      <c r="L30" s="82"/>
      <c r="M30" s="265">
        <v>-3642.6280000000002</v>
      </c>
      <c r="N30" s="103">
        <f t="shared" si="5"/>
        <v>0.15526973572037511</v>
      </c>
      <c r="O30" s="82"/>
      <c r="P30" s="265">
        <f>'P&amp;L_2010_et_2011'!G28</f>
        <v>-5424.5</v>
      </c>
      <c r="Q30" s="103">
        <f t="shared" si="6"/>
        <v>0.24049460001064035</v>
      </c>
      <c r="R30" s="269">
        <f t="shared" ref="R30:R31" si="10">P30-M30</f>
        <v>-1781.8719999999998</v>
      </c>
      <c r="S30" s="81">
        <f t="shared" si="9"/>
        <v>0.48917210321778665</v>
      </c>
    </row>
    <row r="31" spans="1:21" s="32" customFormat="1" ht="12" hidden="1" outlineLevel="1">
      <c r="A31" s="263" t="s">
        <v>17</v>
      </c>
      <c r="B31" s="264"/>
      <c r="C31" s="265">
        <v>-1731.2539999999999</v>
      </c>
      <c r="D31" s="266">
        <f t="shared" si="1"/>
        <v>6.8105486569255358E-2</v>
      </c>
      <c r="E31" s="265"/>
      <c r="F31" s="103">
        <f t="shared" si="0"/>
        <v>0</v>
      </c>
      <c r="G31" s="267"/>
      <c r="H31" s="265">
        <v>-1942.749</v>
      </c>
      <c r="I31" s="266">
        <f t="shared" si="2"/>
        <v>7.2692497052823324E-2</v>
      </c>
      <c r="J31" s="268">
        <f t="shared" si="3"/>
        <v>-1942.749</v>
      </c>
      <c r="K31" s="81" t="e">
        <f t="shared" si="4"/>
        <v>#DIV/0!</v>
      </c>
      <c r="L31" s="82"/>
      <c r="M31" s="265">
        <v>-1731.2539999999999</v>
      </c>
      <c r="N31" s="103">
        <f t="shared" si="5"/>
        <v>7.3795993179880642E-2</v>
      </c>
      <c r="O31" s="82"/>
      <c r="P31" s="265">
        <f>'P&amp;L_2010_et_2011'!G29</f>
        <v>-2512.3000000000002</v>
      </c>
      <c r="Q31" s="103">
        <f t="shared" si="6"/>
        <v>0.11138253914770611</v>
      </c>
      <c r="R31" s="269">
        <f t="shared" si="10"/>
        <v>-781.04600000000028</v>
      </c>
      <c r="S31" s="81">
        <f t="shared" si="9"/>
        <v>0.45114466161522243</v>
      </c>
    </row>
    <row r="32" spans="1:21" collapsed="1">
      <c r="A32" s="101" t="s">
        <v>228</v>
      </c>
      <c r="B32" s="262"/>
      <c r="C32" s="75"/>
      <c r="D32" s="103"/>
      <c r="E32" s="75">
        <v>-6315</v>
      </c>
      <c r="F32" s="103">
        <f>-E32/$E$8</f>
        <v>0.22814306358381503</v>
      </c>
      <c r="G32" s="102"/>
      <c r="H32" s="75">
        <f>SUM(H30:H31)</f>
        <v>-6160.9009999999998</v>
      </c>
      <c r="I32" s="103">
        <f>-H32/$H$8</f>
        <v>0.23052451849684971</v>
      </c>
      <c r="J32" s="254">
        <f>H32-E32</f>
        <v>154.09900000000016</v>
      </c>
      <c r="K32" s="77">
        <f>(H32-E32)/E32</f>
        <v>-2.4402058590657191E-2</v>
      </c>
      <c r="L32" s="76"/>
      <c r="M32" s="75">
        <v>-7000</v>
      </c>
      <c r="N32" s="103">
        <f t="shared" si="5"/>
        <v>0.29838022165387895</v>
      </c>
      <c r="O32" s="76"/>
      <c r="P32" s="75">
        <f>SUM(P30:P31)</f>
        <v>-7936.8</v>
      </c>
      <c r="Q32" s="103">
        <f t="shared" si="6"/>
        <v>0.35187713915834645</v>
      </c>
      <c r="R32" s="255">
        <f>P32-M32</f>
        <v>-936.80000000000018</v>
      </c>
      <c r="S32" s="77">
        <f>(P32-M32)/M32</f>
        <v>0.13382857142857146</v>
      </c>
    </row>
    <row r="33" spans="1:19" hidden="1" outlineLevel="1">
      <c r="A33" s="101"/>
      <c r="B33" s="262"/>
      <c r="C33" s="75"/>
      <c r="D33" s="117"/>
      <c r="E33" s="75"/>
      <c r="F33" s="117"/>
      <c r="G33" s="116"/>
      <c r="H33" s="75"/>
      <c r="I33" s="117"/>
      <c r="J33" s="130"/>
      <c r="K33" s="77"/>
      <c r="L33" s="76"/>
      <c r="M33" s="75"/>
      <c r="N33" s="117"/>
      <c r="O33" s="76"/>
      <c r="P33" s="75"/>
      <c r="Q33" s="117"/>
      <c r="R33" s="271"/>
      <c r="S33" s="77"/>
    </row>
    <row r="34" spans="1:19" hidden="1" outlineLevel="1">
      <c r="A34" s="92" t="s">
        <v>18</v>
      </c>
      <c r="B34" s="258"/>
      <c r="C34" s="93">
        <f>SUM(C11:C31)</f>
        <v>-15761.650000000001</v>
      </c>
      <c r="D34" s="95">
        <f>SUM(D11:D33)</f>
        <v>0.62004468575050442</v>
      </c>
      <c r="E34" s="93">
        <f>E10+E28+E29+E32</f>
        <v>-24804</v>
      </c>
      <c r="F34" s="95">
        <f>SUM(F11:F33)</f>
        <v>0.74797687861271678</v>
      </c>
      <c r="G34" s="85"/>
      <c r="H34" s="93">
        <f>H10+H28+H29+H32</f>
        <v>-25407.332000000002</v>
      </c>
      <c r="I34" s="95">
        <f>SUM(I11:I33)</f>
        <v>1.5974533460043407</v>
      </c>
      <c r="J34" s="259">
        <f>SUM(J10:J31)</f>
        <v>-21898.657999999999</v>
      </c>
      <c r="K34" s="95">
        <f>(H34-E34)/E34</f>
        <v>2.4323980003225373E-2</v>
      </c>
      <c r="L34" s="85"/>
      <c r="M34" s="93">
        <f>M10+M28+M29+M32</f>
        <v>-20158</v>
      </c>
      <c r="N34" s="95">
        <f>SUM(N11:N33)</f>
        <v>1.4474260443307756</v>
      </c>
      <c r="O34" s="85"/>
      <c r="P34" s="93">
        <f>P10+P28+P29+P32</f>
        <v>-25150.896000000001</v>
      </c>
      <c r="Q34" s="95">
        <f>SUM(Q11:Q33)</f>
        <v>1.9731726045860005</v>
      </c>
      <c r="R34" s="260">
        <f>SUM(R10:R31)</f>
        <v>-10709.977000000003</v>
      </c>
      <c r="S34" s="95">
        <f>(P34-M34)/M34</f>
        <v>0.2476880642920925</v>
      </c>
    </row>
    <row r="35" spans="1:19" collapsed="1">
      <c r="A35" s="101"/>
      <c r="B35" s="262"/>
      <c r="C35" s="118"/>
      <c r="D35" s="117"/>
      <c r="E35" s="118"/>
      <c r="F35" s="117"/>
      <c r="G35" s="116"/>
      <c r="H35" s="118"/>
      <c r="I35" s="117"/>
      <c r="J35" s="130"/>
      <c r="K35" s="117"/>
      <c r="L35" s="116"/>
      <c r="M35" s="118"/>
      <c r="N35" s="117"/>
      <c r="O35" s="116"/>
      <c r="P35" s="118"/>
      <c r="Q35" s="117"/>
      <c r="R35" s="271"/>
      <c r="S35" s="117"/>
    </row>
    <row r="36" spans="1:19">
      <c r="A36" s="120" t="s">
        <v>229</v>
      </c>
      <c r="B36" s="272"/>
      <c r="C36" s="121">
        <f>+C8+C34</f>
        <v>9658.5339999999997</v>
      </c>
      <c r="D36" s="123">
        <f>C36/C8</f>
        <v>0.37995531424949558</v>
      </c>
      <c r="E36" s="121">
        <f>+E8+E34</f>
        <v>2876</v>
      </c>
      <c r="F36" s="123">
        <f>E36/E8</f>
        <v>0.10390173410404624</v>
      </c>
      <c r="G36" s="85"/>
      <c r="H36" s="121">
        <f>+H8+H34</f>
        <v>1318.2459999999992</v>
      </c>
      <c r="I36" s="123">
        <f>H36/H8</f>
        <v>4.9325256875641724E-2</v>
      </c>
      <c r="J36" s="273">
        <f>H36-E36</f>
        <v>-1557.7540000000008</v>
      </c>
      <c r="K36" s="123" t="s">
        <v>110</v>
      </c>
      <c r="L36" s="85"/>
      <c r="M36" s="121">
        <f>+M8+M34</f>
        <v>3302</v>
      </c>
      <c r="N36" s="123">
        <f>ABS(M36/M8)</f>
        <v>0.14075021312872976</v>
      </c>
      <c r="O36" s="85"/>
      <c r="P36" s="121">
        <f>+P8+P34</f>
        <v>-2595.2959999999985</v>
      </c>
      <c r="Q36" s="123" t="s">
        <v>110</v>
      </c>
      <c r="R36" s="274">
        <f>P36-M36</f>
        <v>-5897.2959999999985</v>
      </c>
      <c r="S36" s="123">
        <f>(P36-M36)/M36</f>
        <v>-1.7859769836462744</v>
      </c>
    </row>
    <row r="37" spans="1:19">
      <c r="A37" s="99"/>
      <c r="B37" s="261"/>
      <c r="C37" s="118"/>
      <c r="D37" s="117"/>
      <c r="E37" s="118"/>
      <c r="F37" s="117"/>
      <c r="G37" s="116"/>
      <c r="H37" s="118"/>
      <c r="I37" s="117"/>
      <c r="J37" s="130"/>
      <c r="K37" s="117"/>
      <c r="L37" s="116"/>
      <c r="M37" s="118"/>
      <c r="N37" s="117"/>
      <c r="O37" s="116"/>
      <c r="P37" s="118"/>
      <c r="Q37" s="117"/>
      <c r="R37" s="271"/>
      <c r="S37" s="117"/>
    </row>
    <row r="38" spans="1:19">
      <c r="A38" s="74" t="s">
        <v>230</v>
      </c>
      <c r="B38" s="253"/>
      <c r="C38" s="75">
        <f>162.055-112.445-97.432</f>
        <v>-47.821999999999989</v>
      </c>
      <c r="D38" s="103">
        <f>-C38/$C$8</f>
        <v>1.8812609696294876E-3</v>
      </c>
      <c r="E38" s="75">
        <v>-1300</v>
      </c>
      <c r="F38" s="103">
        <f>-E38/$E$8</f>
        <v>4.6965317919075142E-2</v>
      </c>
      <c r="G38" s="102"/>
      <c r="H38" s="75">
        <f>280.177-66.904-932.089</f>
        <v>-718.81600000000003</v>
      </c>
      <c r="I38" s="103">
        <f>-H38/$H$8</f>
        <v>2.689618162795207E-2</v>
      </c>
      <c r="J38" s="254">
        <f>H38-E38</f>
        <v>581.18399999999997</v>
      </c>
      <c r="K38" s="77">
        <f>(H38-E38)/E38</f>
        <v>-0.44706461538461534</v>
      </c>
      <c r="L38" s="116"/>
      <c r="M38" s="75">
        <v>-1311</v>
      </c>
      <c r="N38" s="103">
        <f>-M38/$M$8</f>
        <v>5.5882352941176473E-2</v>
      </c>
      <c r="O38" s="116"/>
      <c r="P38" s="118">
        <f>'P&amp;L_2010_et_2011'!G36</f>
        <v>1893</v>
      </c>
      <c r="Q38" s="103">
        <f>-P38/$P$8</f>
        <v>-8.3925943003067965E-2</v>
      </c>
      <c r="R38" s="255">
        <f>P38-M38</f>
        <v>3204</v>
      </c>
      <c r="S38" s="77">
        <f>(P38-M38)/M38</f>
        <v>-2.4439359267734555</v>
      </c>
    </row>
    <row r="39" spans="1:19">
      <c r="A39" s="99"/>
      <c r="B39" s="261"/>
      <c r="C39" s="118"/>
      <c r="D39" s="117"/>
      <c r="E39" s="118"/>
      <c r="F39" s="117"/>
      <c r="G39" s="116"/>
      <c r="H39" s="118"/>
      <c r="I39" s="117"/>
      <c r="J39" s="130"/>
      <c r="K39" s="117"/>
      <c r="L39" s="116"/>
      <c r="M39" s="118"/>
      <c r="N39" s="117"/>
      <c r="O39" s="116"/>
      <c r="P39" s="118"/>
      <c r="Q39" s="117"/>
      <c r="R39" s="271"/>
      <c r="S39" s="117"/>
    </row>
    <row r="40" spans="1:19">
      <c r="A40" s="133" t="s">
        <v>231</v>
      </c>
      <c r="B40" s="272"/>
      <c r="C40" s="134">
        <f>SUM(C36:C38)</f>
        <v>9610.7119999999995</v>
      </c>
      <c r="D40" s="136">
        <f>C40/C8</f>
        <v>0.3780740532798661</v>
      </c>
      <c r="E40" s="134">
        <f>SUM(E36:E38)</f>
        <v>1576</v>
      </c>
      <c r="F40" s="136">
        <f>E40/E8</f>
        <v>5.6936416184971098E-2</v>
      </c>
      <c r="G40" s="85"/>
      <c r="H40" s="134">
        <f>SUM(H36:H38)</f>
        <v>599.42999999999915</v>
      </c>
      <c r="I40" s="136">
        <f>H40/$H$8</f>
        <v>2.2429075247689653E-2</v>
      </c>
      <c r="J40" s="137">
        <f>H40-E40</f>
        <v>-976.57000000000085</v>
      </c>
      <c r="K40" s="136">
        <f>(H40-E40)/E40</f>
        <v>-0.61965101522842692</v>
      </c>
      <c r="L40" s="85"/>
      <c r="M40" s="134">
        <f>SUM(M36:M38)</f>
        <v>1991</v>
      </c>
      <c r="N40" s="136">
        <f>ABS(M40/M8)</f>
        <v>8.4867860187553282E-2</v>
      </c>
      <c r="O40" s="85"/>
      <c r="P40" s="134">
        <f>SUM(P36:P38)</f>
        <v>-702.29599999999846</v>
      </c>
      <c r="Q40" s="136" t="s">
        <v>110</v>
      </c>
      <c r="R40" s="275">
        <f>P40-M40</f>
        <v>-2693.2959999999985</v>
      </c>
      <c r="S40" s="136">
        <f>(P40-M40)/M40</f>
        <v>-1.3527353088900043</v>
      </c>
    </row>
    <row r="41" spans="1:19">
      <c r="A41" s="128" t="s">
        <v>245</v>
      </c>
      <c r="C41" s="2"/>
      <c r="D41" s="2"/>
      <c r="E41" s="2"/>
      <c r="F41" s="2"/>
      <c r="G41" s="276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</sheetData>
  <mergeCells count="19">
    <mergeCell ref="A1:A2"/>
    <mergeCell ref="C1:C2"/>
    <mergeCell ref="D1:D2"/>
    <mergeCell ref="E1:E2"/>
    <mergeCell ref="F1:F2"/>
    <mergeCell ref="Q1:Q2"/>
    <mergeCell ref="R1:R2"/>
    <mergeCell ref="S1:S2"/>
    <mergeCell ref="E3:F3"/>
    <mergeCell ref="H3:I3"/>
    <mergeCell ref="M3:N3"/>
    <mergeCell ref="P3:Q3"/>
    <mergeCell ref="I1:I2"/>
    <mergeCell ref="J1:J2"/>
    <mergeCell ref="K1:K2"/>
    <mergeCell ref="M1:M2"/>
    <mergeCell ref="N1:N2"/>
    <mergeCell ref="P1:P2"/>
    <mergeCell ref="H1:H2"/>
  </mergeCells>
  <pageMargins left="0.70000000000000007" right="0.70000000000000007" top="0.75" bottom="0.75" header="0.30000000000000004" footer="0.30000000000000004"/>
  <pageSetup paperSize="9" fitToWidth="0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workbookViewId="0">
      <selection activeCell="D15" sqref="D15"/>
    </sheetView>
  </sheetViews>
  <sheetFormatPr baseColWidth="10" defaultRowHeight="14" x14ac:dyDescent="0"/>
  <cols>
    <col min="1" max="1" width="10.83203125" style="68"/>
    <col min="2" max="2" width="12" customWidth="1"/>
    <col min="6" max="12" width="10.83203125" style="2"/>
  </cols>
  <sheetData>
    <row r="2" spans="1:3">
      <c r="B2" t="s">
        <v>75</v>
      </c>
      <c r="C2" t="s">
        <v>76</v>
      </c>
    </row>
    <row r="3" spans="1:3">
      <c r="A3" s="68">
        <v>1991</v>
      </c>
      <c r="B3">
        <v>17</v>
      </c>
    </row>
    <row r="4" spans="1:3">
      <c r="A4" s="68">
        <v>1996</v>
      </c>
      <c r="B4">
        <v>100</v>
      </c>
    </row>
    <row r="5" spans="1:3">
      <c r="A5" s="68">
        <v>1999</v>
      </c>
      <c r="B5">
        <v>400</v>
      </c>
    </row>
    <row r="6" spans="1:3">
      <c r="A6" s="68">
        <v>2000</v>
      </c>
      <c r="B6">
        <v>560</v>
      </c>
    </row>
    <row r="7" spans="1:3">
      <c r="A7" s="68">
        <v>2001</v>
      </c>
      <c r="B7">
        <v>700</v>
      </c>
    </row>
    <row r="8" spans="1:3">
      <c r="A8" s="68">
        <v>2002</v>
      </c>
      <c r="B8">
        <v>1000</v>
      </c>
      <c r="C8">
        <v>20</v>
      </c>
    </row>
    <row r="9" spans="1:3">
      <c r="A9" s="68">
        <v>2005</v>
      </c>
      <c r="B9">
        <v>1400</v>
      </c>
      <c r="C9">
        <v>40</v>
      </c>
    </row>
    <row r="10" spans="1:3">
      <c r="A10" s="68">
        <v>2007</v>
      </c>
      <c r="B10">
        <v>1500</v>
      </c>
      <c r="C10">
        <v>106</v>
      </c>
    </row>
    <row r="11" spans="1:3">
      <c r="A11" s="68">
        <v>2009</v>
      </c>
      <c r="B11">
        <v>2271</v>
      </c>
      <c r="C11">
        <v>293</v>
      </c>
    </row>
    <row r="12" spans="1:3">
      <c r="A12" s="68">
        <v>2010</v>
      </c>
      <c r="B12">
        <v>2632</v>
      </c>
      <c r="C12">
        <v>491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9"/>
  <sheetViews>
    <sheetView workbookViewId="0">
      <selection activeCell="A20" sqref="A20"/>
    </sheetView>
  </sheetViews>
  <sheetFormatPr baseColWidth="10" defaultRowHeight="14" x14ac:dyDescent="0"/>
  <cols>
    <col min="1" max="1" width="19.83203125" customWidth="1"/>
    <col min="2" max="2" width="7.33203125" customWidth="1"/>
    <col min="3" max="3" width="4.6640625" style="32" customWidth="1"/>
    <col min="4" max="4" width="7.33203125" customWidth="1"/>
    <col min="5" max="5" width="4.6640625" style="32" customWidth="1"/>
    <col min="6" max="6" width="7.33203125" customWidth="1"/>
    <col min="7" max="7" width="10.83203125" style="10"/>
    <col min="8" max="8" width="18.1640625" bestFit="1" customWidth="1"/>
    <col min="11" max="13" width="10.83203125" style="2"/>
  </cols>
  <sheetData>
    <row r="1" spans="1:15">
      <c r="A1" s="11" t="s">
        <v>46</v>
      </c>
      <c r="B1" s="12">
        <v>2009</v>
      </c>
      <c r="C1" s="24" t="s">
        <v>64</v>
      </c>
      <c r="D1" s="12">
        <v>2008</v>
      </c>
      <c r="E1" s="24" t="s">
        <v>64</v>
      </c>
      <c r="F1" s="12" t="s">
        <v>57</v>
      </c>
      <c r="H1" s="2"/>
      <c r="I1" s="2"/>
      <c r="J1" s="2"/>
    </row>
    <row r="2" spans="1:15">
      <c r="A2" s="13" t="s">
        <v>49</v>
      </c>
      <c r="B2" s="14">
        <v>181.37</v>
      </c>
      <c r="C2" s="25">
        <f>+B2/$B$19</f>
        <v>9.137939199980653E-3</v>
      </c>
      <c r="D2" s="14">
        <v>181.37</v>
      </c>
      <c r="E2" s="25">
        <f>+D2/$D$19</f>
        <v>8.5543090380328819E-3</v>
      </c>
      <c r="F2" s="22">
        <f>+B2-D2</f>
        <v>0</v>
      </c>
    </row>
    <row r="3" spans="1:15">
      <c r="A3" s="13" t="s">
        <v>50</v>
      </c>
      <c r="B3" s="14">
        <v>18.14</v>
      </c>
      <c r="C3" s="26">
        <f t="shared" ref="C3:C5" si="0">+B3/$B$19</f>
        <v>9.1394506857610984E-4</v>
      </c>
      <c r="D3" s="14">
        <v>18.14</v>
      </c>
      <c r="E3" s="26">
        <f t="shared" ref="E3:E5" si="1">+D3/$D$19</f>
        <v>8.5557239868730482E-4</v>
      </c>
      <c r="F3" s="22">
        <f t="shared" ref="F3:F5" si="2">+B3-D3</f>
        <v>0</v>
      </c>
    </row>
    <row r="4" spans="1:15">
      <c r="A4" s="13" t="s">
        <v>51</v>
      </c>
      <c r="B4" s="14">
        <v>2637.15</v>
      </c>
      <c r="C4" s="25">
        <f t="shared" si="0"/>
        <v>0.132867157530071</v>
      </c>
      <c r="D4" s="14">
        <v>1177.92</v>
      </c>
      <c r="E4" s="25">
        <f t="shared" si="1"/>
        <v>5.5556551260294934E-2</v>
      </c>
      <c r="F4" s="14">
        <f t="shared" si="2"/>
        <v>1459.23</v>
      </c>
    </row>
    <row r="5" spans="1:15">
      <c r="A5" s="15" t="s">
        <v>32</v>
      </c>
      <c r="B5" s="14">
        <v>546.71</v>
      </c>
      <c r="C5" s="25">
        <f t="shared" si="0"/>
        <v>2.7544813034247245E-2</v>
      </c>
      <c r="D5" s="14">
        <v>1589.23</v>
      </c>
      <c r="E5" s="25">
        <f t="shared" si="1"/>
        <v>7.4955971508590152E-2</v>
      </c>
      <c r="F5" s="14">
        <f t="shared" si="2"/>
        <v>-1042.52</v>
      </c>
      <c r="H5" s="38"/>
    </row>
    <row r="6" spans="1:15">
      <c r="A6" s="16" t="s">
        <v>47</v>
      </c>
      <c r="B6" s="17">
        <f>SUM(B2:B5)</f>
        <v>3383.37</v>
      </c>
      <c r="C6" s="27">
        <f>+B6/$B$19</f>
        <v>0.17046385483287502</v>
      </c>
      <c r="D6" s="17">
        <f>SUM(D2:D5)</f>
        <v>2966.66</v>
      </c>
      <c r="E6" s="27">
        <f>+D6/$D$19</f>
        <v>0.13992240420560526</v>
      </c>
      <c r="F6" s="17">
        <f>+B6-D6</f>
        <v>416.71000000000004</v>
      </c>
      <c r="H6" s="2"/>
      <c r="I6" s="2"/>
      <c r="J6" s="2"/>
    </row>
    <row r="7" spans="1:15" ht="3.5" customHeight="1">
      <c r="A7" s="18"/>
      <c r="B7" s="19"/>
      <c r="C7" s="25"/>
      <c r="D7" s="19"/>
      <c r="E7" s="25"/>
      <c r="F7" s="19"/>
      <c r="G7" s="9"/>
      <c r="H7" s="8"/>
      <c r="I7" s="8"/>
      <c r="J7" s="8"/>
      <c r="K7" s="8"/>
      <c r="L7" s="8"/>
      <c r="M7" s="8"/>
      <c r="N7" s="2"/>
      <c r="O7" s="2"/>
    </row>
    <row r="8" spans="1:15">
      <c r="A8" s="16" t="s">
        <v>52</v>
      </c>
      <c r="B8" s="17">
        <v>35</v>
      </c>
      <c r="C8" s="28">
        <f>+B8/$B$19</f>
        <v>1.7634000771865404E-3</v>
      </c>
      <c r="D8" s="17">
        <v>35</v>
      </c>
      <c r="E8" s="28">
        <f>+D8/$D$19</f>
        <v>1.6507736468608417E-3</v>
      </c>
      <c r="F8" s="23">
        <f>+B8-D8</f>
        <v>0</v>
      </c>
    </row>
    <row r="9" spans="1:15" ht="3.5" customHeight="1">
      <c r="A9" s="18"/>
      <c r="B9" s="19"/>
      <c r="C9" s="25"/>
      <c r="D9" s="19"/>
      <c r="E9" s="25"/>
      <c r="F9" s="19"/>
      <c r="G9" s="9"/>
      <c r="H9" s="8"/>
      <c r="I9" s="8"/>
      <c r="J9" s="8"/>
      <c r="K9" s="8"/>
      <c r="L9" s="8"/>
      <c r="M9" s="8"/>
      <c r="N9" s="2"/>
      <c r="O9" s="2"/>
    </row>
    <row r="10" spans="1:15">
      <c r="A10" s="15" t="s">
        <v>60</v>
      </c>
      <c r="B10" s="14">
        <v>322.3</v>
      </c>
      <c r="C10" s="25">
        <f t="shared" ref="C10:C14" si="3">+B10/$B$19</f>
        <v>1.623839556792063E-2</v>
      </c>
      <c r="D10" s="14">
        <v>473.49</v>
      </c>
      <c r="E10" s="25">
        <f>+D10/$D$19</f>
        <v>2.2332137544346854E-2</v>
      </c>
      <c r="F10" s="14">
        <f t="shared" ref="F10:F14" si="4">+B10-D10</f>
        <v>-151.19</v>
      </c>
    </row>
    <row r="11" spans="1:15">
      <c r="A11" s="15" t="s">
        <v>61</v>
      </c>
      <c r="B11" s="14">
        <v>457.15</v>
      </c>
      <c r="C11" s="25">
        <f t="shared" si="3"/>
        <v>2.3032524151023626E-2</v>
      </c>
      <c r="D11" s="14">
        <v>31.24</v>
      </c>
      <c r="E11" s="26">
        <f t="shared" ref="E11:E14" si="5">+D11/$D$19</f>
        <v>1.4734333922266482E-3</v>
      </c>
      <c r="F11" s="14">
        <f t="shared" si="4"/>
        <v>425.90999999999997</v>
      </c>
    </row>
    <row r="12" spans="1:15">
      <c r="A12" s="15" t="s">
        <v>54</v>
      </c>
      <c r="B12" s="14">
        <v>5029.2700000000004</v>
      </c>
      <c r="C12" s="25">
        <f t="shared" si="3"/>
        <v>0.25338900303405582</v>
      </c>
      <c r="D12" s="14">
        <v>8372.83</v>
      </c>
      <c r="E12" s="25">
        <f t="shared" si="5"/>
        <v>0.39490420324702458</v>
      </c>
      <c r="F12" s="14">
        <f t="shared" si="4"/>
        <v>-3343.5599999999995</v>
      </c>
    </row>
    <row r="13" spans="1:15">
      <c r="A13" s="15" t="s">
        <v>55</v>
      </c>
      <c r="B13" s="14">
        <v>3234.79</v>
      </c>
      <c r="C13" s="25">
        <f t="shared" si="3"/>
        <v>0.1629779695909214</v>
      </c>
      <c r="D13" s="14">
        <v>3629.59</v>
      </c>
      <c r="E13" s="25">
        <f t="shared" si="5"/>
        <v>0.17118947202598978</v>
      </c>
      <c r="F13" s="14">
        <f t="shared" si="4"/>
        <v>-394.80000000000018</v>
      </c>
    </row>
    <row r="14" spans="1:15">
      <c r="A14" s="15" t="s">
        <v>62</v>
      </c>
      <c r="B14" s="14">
        <f>7358.64</f>
        <v>7358.64</v>
      </c>
      <c r="C14" s="25">
        <f t="shared" si="3"/>
        <v>0.37074932411394185</v>
      </c>
      <c r="D14" s="14">
        <f>5670.64</f>
        <v>5670.64</v>
      </c>
      <c r="E14" s="25">
        <f t="shared" si="5"/>
        <v>0.26745551636671322</v>
      </c>
      <c r="F14" s="14">
        <f t="shared" si="4"/>
        <v>1688</v>
      </c>
    </row>
    <row r="15" spans="1:15">
      <c r="A15" s="16" t="s">
        <v>53</v>
      </c>
      <c r="B15" s="17">
        <f>SUM(B9:B14)</f>
        <v>16402.150000000001</v>
      </c>
      <c r="C15" s="27">
        <f>+B15/$B$19</f>
        <v>0.82638721645786339</v>
      </c>
      <c r="D15" s="17">
        <f>SUM(D10:D14)</f>
        <v>18177.79</v>
      </c>
      <c r="E15" s="27">
        <f>+D15/$D$19</f>
        <v>0.85735476257630117</v>
      </c>
      <c r="F15" s="17">
        <f>+B15-D15</f>
        <v>-1775.6399999999994</v>
      </c>
    </row>
    <row r="16" spans="1:15" ht="3.5" customHeight="1">
      <c r="A16" s="18"/>
      <c r="B16" s="19"/>
      <c r="C16" s="29"/>
      <c r="D16" s="19"/>
      <c r="E16" s="29"/>
      <c r="F16" s="19"/>
      <c r="G16" s="9"/>
      <c r="H16" s="8"/>
      <c r="I16" s="8"/>
      <c r="J16" s="8"/>
      <c r="K16" s="8"/>
      <c r="L16" s="8"/>
      <c r="M16" s="8"/>
      <c r="N16" s="2"/>
      <c r="O16" s="2"/>
    </row>
    <row r="17" spans="1:15">
      <c r="A17" s="15" t="s">
        <v>63</v>
      </c>
      <c r="B17" s="14">
        <v>27.5</v>
      </c>
      <c r="C17" s="26">
        <f t="shared" ref="C17" si="6">+B17/$B$19</f>
        <v>1.385528632075139E-3</v>
      </c>
      <c r="D17" s="14">
        <v>22.73</v>
      </c>
      <c r="E17" s="26">
        <f>+D17/$D$19</f>
        <v>1.0720595712327694E-3</v>
      </c>
      <c r="F17" s="14">
        <f t="shared" ref="F17" si="7">+B17-D17</f>
        <v>4.7699999999999996</v>
      </c>
    </row>
    <row r="18" spans="1:15" ht="3.5" customHeight="1">
      <c r="A18" s="18"/>
      <c r="B18" s="19"/>
      <c r="C18" s="30"/>
      <c r="D18" s="19"/>
      <c r="E18" s="30"/>
      <c r="F18" s="19"/>
      <c r="G18" s="9"/>
      <c r="H18" s="8"/>
      <c r="I18" s="8"/>
      <c r="J18" s="8"/>
      <c r="K18" s="8"/>
      <c r="L18" s="8"/>
      <c r="M18" s="8"/>
      <c r="N18" s="2"/>
      <c r="O18" s="2"/>
    </row>
    <row r="19" spans="1:15">
      <c r="A19" s="20" t="s">
        <v>48</v>
      </c>
      <c r="B19" s="21">
        <f>+B6+B8+B15+B17</f>
        <v>19848.02</v>
      </c>
      <c r="C19" s="31">
        <f>+B19/$B$19</f>
        <v>1</v>
      </c>
      <c r="D19" s="21">
        <f>+D6+D8+D15+D17</f>
        <v>21202.18</v>
      </c>
      <c r="E19" s="31">
        <f>+D19/$D$19</f>
        <v>1</v>
      </c>
      <c r="F19" s="21">
        <f>+B19-D19</f>
        <v>-1354.1599999999999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/>
  <ignoredErrors>
    <ignoredError sqref="B6" formulaRange="1"/>
    <ignoredError sqref="C6 C19:E19 D14:D15 E6 E14:E15" formula="1"/>
    <ignoredError sqref="D6" formula="1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6"/>
  <sheetViews>
    <sheetView workbookViewId="0">
      <selection activeCell="A47" sqref="A47"/>
    </sheetView>
  </sheetViews>
  <sheetFormatPr baseColWidth="10" defaultColWidth="8.83203125" defaultRowHeight="12" x14ac:dyDescent="0"/>
  <cols>
    <col min="1" max="1" width="27.6640625" style="5" bestFit="1" customWidth="1"/>
    <col min="2" max="2" width="8" style="1" bestFit="1" customWidth="1"/>
    <col min="3" max="3" width="6" style="1" bestFit="1" customWidth="1"/>
    <col min="4" max="4" width="9.5" style="4" bestFit="1" customWidth="1"/>
    <col min="5" max="5" width="6" style="1" bestFit="1" customWidth="1"/>
    <col min="6" max="6" width="9.5" style="4" bestFit="1" customWidth="1"/>
    <col min="7" max="13" width="8.83203125" style="4"/>
    <col min="14" max="16384" width="8.83203125" style="5"/>
  </cols>
  <sheetData>
    <row r="1" spans="1:13">
      <c r="A1" s="39" t="s">
        <v>20</v>
      </c>
      <c r="B1" s="40">
        <v>2009</v>
      </c>
      <c r="C1" s="40" t="s">
        <v>65</v>
      </c>
      <c r="D1" s="40">
        <v>2008</v>
      </c>
      <c r="E1" s="40" t="s">
        <v>65</v>
      </c>
      <c r="F1" s="40" t="s">
        <v>57</v>
      </c>
    </row>
    <row r="2" spans="1:13">
      <c r="A2" s="41" t="s">
        <v>0</v>
      </c>
      <c r="B2" s="42">
        <f>26725.578</f>
        <v>26725.578000000001</v>
      </c>
      <c r="C2" s="43">
        <f>+B2/$B$4</f>
        <v>1</v>
      </c>
      <c r="D2" s="42">
        <f>25420.184</f>
        <v>25420.184000000001</v>
      </c>
      <c r="E2" s="43">
        <f>+D2/$D$4</f>
        <v>1</v>
      </c>
      <c r="F2" s="42">
        <f>+B2-D2</f>
        <v>1305.3940000000002</v>
      </c>
    </row>
    <row r="3" spans="1:13" customFormat="1" ht="3.5" customHeight="1">
      <c r="A3" s="44"/>
      <c r="B3" s="45"/>
      <c r="C3" s="45"/>
      <c r="D3" s="45"/>
      <c r="E3" s="45"/>
      <c r="F3" s="45"/>
      <c r="G3" s="4"/>
      <c r="H3" s="8"/>
      <c r="I3" s="8"/>
      <c r="J3" s="8"/>
      <c r="K3" s="8"/>
      <c r="L3" s="2"/>
      <c r="M3" s="2"/>
    </row>
    <row r="4" spans="1:13">
      <c r="A4" s="46" t="s">
        <v>1</v>
      </c>
      <c r="B4" s="47">
        <f>SUM(B2:B3)</f>
        <v>26725.578000000001</v>
      </c>
      <c r="C4" s="48">
        <f>+B4/$B$4</f>
        <v>1</v>
      </c>
      <c r="D4" s="47">
        <f>SUM(D2:D3)</f>
        <v>25420.184000000001</v>
      </c>
      <c r="E4" s="48">
        <f>+D4/$D$4</f>
        <v>1</v>
      </c>
      <c r="F4" s="47">
        <f>+B4-D4</f>
        <v>1305.3940000000002</v>
      </c>
    </row>
    <row r="5" spans="1:13">
      <c r="A5" s="49" t="s">
        <v>2</v>
      </c>
      <c r="B5" s="50">
        <v>-2589.0520000000001</v>
      </c>
      <c r="C5" s="51">
        <f>-B5/$B$4</f>
        <v>9.6875435210419025E-2</v>
      </c>
      <c r="D5" s="50">
        <f>-1187.97-140.53</f>
        <v>-1328.5</v>
      </c>
      <c r="E5" s="51">
        <f>-D5/$D$4</f>
        <v>5.226162013618784E-2</v>
      </c>
      <c r="F5" s="42">
        <f t="shared" ref="F5:F24" si="0">+B5-D5</f>
        <v>-1260.5520000000001</v>
      </c>
    </row>
    <row r="6" spans="1:13">
      <c r="A6" s="49" t="s">
        <v>34</v>
      </c>
      <c r="B6" s="50">
        <v>-168.46299999999999</v>
      </c>
      <c r="C6" s="51">
        <f t="shared" ref="C6:C21" si="1">-B6/$B$4</f>
        <v>6.3034371043350305E-3</v>
      </c>
      <c r="D6" s="50">
        <v>140.53</v>
      </c>
      <c r="E6" s="51">
        <f t="shared" ref="E6:E24" si="2">-D6/$D$4</f>
        <v>-5.5282841383052141E-3</v>
      </c>
      <c r="F6" s="42">
        <f t="shared" si="0"/>
        <v>-308.99299999999999</v>
      </c>
    </row>
    <row r="7" spans="1:13">
      <c r="A7" s="49" t="s">
        <v>66</v>
      </c>
      <c r="B7" s="50">
        <f>-3899.595+43.9</f>
        <v>-3855.6949999999997</v>
      </c>
      <c r="C7" s="51">
        <f t="shared" si="1"/>
        <v>0.14426984516480801</v>
      </c>
      <c r="D7" s="50">
        <f>-8522.299+4.6</f>
        <v>-8517.6990000000005</v>
      </c>
      <c r="E7" s="51">
        <f t="shared" si="2"/>
        <v>0.3350762134530576</v>
      </c>
      <c r="F7" s="42">
        <f t="shared" si="0"/>
        <v>4662.0040000000008</v>
      </c>
    </row>
    <row r="8" spans="1:13">
      <c r="A8" s="49" t="s">
        <v>67</v>
      </c>
      <c r="B8" s="50">
        <v>-3305.6770000000001</v>
      </c>
      <c r="C8" s="51">
        <f t="shared" si="1"/>
        <v>0.12368963544960562</v>
      </c>
      <c r="D8" s="50">
        <f>-2516.99</f>
        <v>-2516.9899999999998</v>
      </c>
      <c r="E8" s="51">
        <f t="shared" si="2"/>
        <v>9.9015412319596097E-2</v>
      </c>
      <c r="F8" s="42">
        <f t="shared" si="0"/>
        <v>-788.68700000000035</v>
      </c>
    </row>
    <row r="9" spans="1:13">
      <c r="A9" s="49" t="s">
        <v>3</v>
      </c>
      <c r="B9" s="50">
        <v>-116.666</v>
      </c>
      <c r="C9" s="51">
        <f t="shared" si="1"/>
        <v>4.365331219403374E-3</v>
      </c>
      <c r="D9" s="50">
        <v>-116.69</v>
      </c>
      <c r="E9" s="51">
        <f t="shared" si="2"/>
        <v>4.590446709591087E-3</v>
      </c>
      <c r="F9" s="42">
        <f t="shared" si="0"/>
        <v>2.4000000000000909E-2</v>
      </c>
    </row>
    <row r="10" spans="1:13">
      <c r="A10" s="49" t="s">
        <v>33</v>
      </c>
      <c r="B10" s="50">
        <f>-321.087</f>
        <v>-321.08699999999999</v>
      </c>
      <c r="C10" s="51">
        <f t="shared" si="1"/>
        <v>1.2014220983359086E-2</v>
      </c>
      <c r="D10" s="50">
        <f>-141.83</f>
        <v>-141.83000000000001</v>
      </c>
      <c r="E10" s="51">
        <f t="shared" si="2"/>
        <v>5.5794246021193244E-3</v>
      </c>
      <c r="F10" s="42">
        <f t="shared" si="0"/>
        <v>-179.25699999999998</v>
      </c>
    </row>
    <row r="11" spans="1:13" collapsed="1">
      <c r="A11" s="49" t="s">
        <v>4</v>
      </c>
      <c r="B11" s="50">
        <v>-1423.606</v>
      </c>
      <c r="C11" s="51">
        <f t="shared" si="1"/>
        <v>5.3267547665386314E-2</v>
      </c>
      <c r="D11" s="50">
        <v>-795.98</v>
      </c>
      <c r="E11" s="51">
        <f t="shared" si="2"/>
        <v>3.1312912605195933E-2</v>
      </c>
      <c r="F11" s="42">
        <f t="shared" si="0"/>
        <v>-627.62599999999998</v>
      </c>
    </row>
    <row r="12" spans="1:13">
      <c r="A12" s="49" t="s">
        <v>5</v>
      </c>
      <c r="B12" s="50">
        <v>-68.376999999999995</v>
      </c>
      <c r="C12" s="51">
        <f t="shared" si="1"/>
        <v>2.5584853581089992E-3</v>
      </c>
      <c r="D12" s="50">
        <f>-65.07</f>
        <v>-65.069999999999993</v>
      </c>
      <c r="E12" s="51">
        <f t="shared" si="2"/>
        <v>2.5597769079877624E-3</v>
      </c>
      <c r="F12" s="42">
        <f t="shared" si="0"/>
        <v>-3.3070000000000022</v>
      </c>
    </row>
    <row r="13" spans="1:13">
      <c r="A13" s="49" t="s">
        <v>6</v>
      </c>
      <c r="B13" s="50">
        <f>-4.909-3.389</f>
        <v>-8.298</v>
      </c>
      <c r="C13" s="51">
        <f t="shared" si="1"/>
        <v>3.1048907529708058E-4</v>
      </c>
      <c r="D13" s="50">
        <f>-3.89-8.34</f>
        <v>-12.23</v>
      </c>
      <c r="E13" s="51">
        <f t="shared" si="2"/>
        <v>4.8111374803581279E-4</v>
      </c>
      <c r="F13" s="42">
        <f t="shared" si="0"/>
        <v>3.9320000000000004</v>
      </c>
    </row>
    <row r="14" spans="1:13">
      <c r="A14" s="49" t="s">
        <v>7</v>
      </c>
      <c r="B14" s="50">
        <v>-92.902000000000001</v>
      </c>
      <c r="C14" s="51">
        <f t="shared" si="1"/>
        <v>3.476145586074883E-3</v>
      </c>
      <c r="D14" s="50">
        <v>-61.57</v>
      </c>
      <c r="E14" s="51">
        <f t="shared" si="2"/>
        <v>2.4220910438728532E-3</v>
      </c>
      <c r="F14" s="42">
        <f t="shared" si="0"/>
        <v>-31.332000000000001</v>
      </c>
    </row>
    <row r="15" spans="1:13">
      <c r="A15" s="49" t="s">
        <v>8</v>
      </c>
      <c r="B15" s="50">
        <v>-11.369</v>
      </c>
      <c r="C15" s="51">
        <f t="shared" si="1"/>
        <v>4.2539772198752819E-4</v>
      </c>
      <c r="D15" s="50">
        <v>-8.8800000000000008</v>
      </c>
      <c r="E15" s="51">
        <f t="shared" si="2"/>
        <v>3.4932870666868504E-4</v>
      </c>
      <c r="F15" s="42">
        <f t="shared" si="0"/>
        <v>-2.488999999999999</v>
      </c>
    </row>
    <row r="16" spans="1:13">
      <c r="A16" s="49" t="s">
        <v>9</v>
      </c>
      <c r="B16" s="50">
        <v>-912.63300000000004</v>
      </c>
      <c r="C16" s="51">
        <f t="shared" si="1"/>
        <v>3.4148297933911852E-2</v>
      </c>
      <c r="D16" s="50">
        <v>-697.49</v>
      </c>
      <c r="E16" s="51">
        <f t="shared" si="2"/>
        <v>2.7438432389002378E-2</v>
      </c>
      <c r="F16" s="42">
        <f t="shared" si="0"/>
        <v>-215.14300000000003</v>
      </c>
    </row>
    <row r="17" spans="1:13">
      <c r="A17" s="49" t="s">
        <v>10</v>
      </c>
      <c r="B17" s="50">
        <f>-2494.895-426.933</f>
        <v>-2921.828</v>
      </c>
      <c r="C17" s="51">
        <f t="shared" si="1"/>
        <v>0.10932702746410199</v>
      </c>
      <c r="D17" s="50">
        <f>-344.32-2075.77</f>
        <v>-2420.09</v>
      </c>
      <c r="E17" s="51">
        <f t="shared" si="2"/>
        <v>9.5203480824529049E-2</v>
      </c>
      <c r="F17" s="42">
        <f t="shared" si="0"/>
        <v>-501.73799999999983</v>
      </c>
    </row>
    <row r="18" spans="1:13">
      <c r="A18" s="49" t="s">
        <v>11</v>
      </c>
      <c r="B18" s="50">
        <f>-2220.949</f>
        <v>-2220.9490000000001</v>
      </c>
      <c r="C18" s="51">
        <f t="shared" si="1"/>
        <v>8.3102000637741119E-2</v>
      </c>
      <c r="D18" s="50">
        <f>-1479.51</f>
        <v>-1479.51</v>
      </c>
      <c r="E18" s="51">
        <f t="shared" si="2"/>
        <v>5.820217509047141E-2</v>
      </c>
      <c r="F18" s="42">
        <f t="shared" si="0"/>
        <v>-741.43900000000008</v>
      </c>
    </row>
    <row r="19" spans="1:13">
      <c r="A19" s="49" t="s">
        <v>12</v>
      </c>
      <c r="B19" s="50">
        <v>-406.65100000000001</v>
      </c>
      <c r="C19" s="51">
        <f t="shared" si="1"/>
        <v>1.5215798139145953E-2</v>
      </c>
      <c r="D19" s="50">
        <v>-278.93</v>
      </c>
      <c r="E19" s="51">
        <f t="shared" si="2"/>
        <v>1.0972776593591927E-2</v>
      </c>
      <c r="F19" s="42">
        <f t="shared" si="0"/>
        <v>-127.721</v>
      </c>
    </row>
    <row r="20" spans="1:13">
      <c r="A20" s="49" t="s">
        <v>13</v>
      </c>
      <c r="B20" s="50">
        <f>-270.507-22.352-13.845-1.026-11.651-1.77</f>
        <v>-321.15100000000001</v>
      </c>
      <c r="C20" s="51">
        <f t="shared" si="1"/>
        <v>1.2016615693026358E-2</v>
      </c>
      <c r="D20" s="50">
        <f>-211.11-16.12-21.61-23.59-45.16-0.72</f>
        <v>-318.31000000000006</v>
      </c>
      <c r="E20" s="51">
        <f t="shared" si="2"/>
        <v>1.2521939258976255E-2</v>
      </c>
      <c r="F20" s="42">
        <f t="shared" si="0"/>
        <v>-2.8409999999999513</v>
      </c>
    </row>
    <row r="21" spans="1:13">
      <c r="A21" s="49" t="s">
        <v>14</v>
      </c>
      <c r="B21" s="50">
        <v>-46.847999999999999</v>
      </c>
      <c r="C21" s="51">
        <f t="shared" si="1"/>
        <v>1.7529274764422305E-3</v>
      </c>
      <c r="D21" s="50">
        <v>-26.66</v>
      </c>
      <c r="E21" s="51">
        <f t="shared" si="2"/>
        <v>1.0487728963724258E-3</v>
      </c>
      <c r="F21" s="42">
        <f t="shared" si="0"/>
        <v>-20.187999999999999</v>
      </c>
    </row>
    <row r="22" spans="1:13">
      <c r="A22" s="49" t="s">
        <v>15</v>
      </c>
      <c r="B22" s="50">
        <v>-410.41</v>
      </c>
      <c r="C22" s="51">
        <f t="shared" ref="C22:C24" si="3">-B22/$B$4</f>
        <v>1.5356449914759561E-2</v>
      </c>
      <c r="D22" s="50">
        <v>-353.03</v>
      </c>
      <c r="E22" s="51">
        <f t="shared" si="2"/>
        <v>1.3887783030996154E-2</v>
      </c>
      <c r="F22" s="42">
        <f t="shared" si="0"/>
        <v>-57.380000000000052</v>
      </c>
    </row>
    <row r="23" spans="1:13">
      <c r="A23" s="49" t="s">
        <v>16</v>
      </c>
      <c r="B23" s="50">
        <v>-4218.152</v>
      </c>
      <c r="C23" s="51">
        <f t="shared" si="3"/>
        <v>0.15783202144402639</v>
      </c>
      <c r="D23" s="42">
        <v>-3642.63</v>
      </c>
      <c r="E23" s="51">
        <f t="shared" si="2"/>
        <v>0.1432967597716838</v>
      </c>
      <c r="F23" s="42">
        <f t="shared" si="0"/>
        <v>-575.52199999999993</v>
      </c>
    </row>
    <row r="24" spans="1:13" customFormat="1" ht="14">
      <c r="A24" s="49" t="s">
        <v>17</v>
      </c>
      <c r="B24" s="50">
        <v>-1942.749</v>
      </c>
      <c r="C24" s="51">
        <f t="shared" si="3"/>
        <v>7.2692497052823324E-2</v>
      </c>
      <c r="D24" s="42">
        <v>-1731.25</v>
      </c>
      <c r="E24" s="51">
        <f t="shared" si="2"/>
        <v>6.8105329213982088E-2</v>
      </c>
      <c r="F24" s="42">
        <f t="shared" si="0"/>
        <v>-211.49900000000002</v>
      </c>
      <c r="G24" s="8"/>
      <c r="H24" s="8"/>
      <c r="I24" s="8"/>
      <c r="J24" s="8"/>
      <c r="K24" s="8"/>
      <c r="L24" s="2"/>
      <c r="M24" s="2"/>
    </row>
    <row r="25" spans="1:13" customFormat="1" ht="3.5" customHeight="1">
      <c r="A25" s="44"/>
      <c r="B25" s="45"/>
      <c r="C25" s="52"/>
      <c r="D25" s="45"/>
      <c r="E25" s="52"/>
      <c r="F25" s="45"/>
      <c r="G25" s="8"/>
      <c r="H25" s="8"/>
      <c r="I25" s="8"/>
      <c r="J25" s="8"/>
      <c r="K25" s="8"/>
      <c r="L25" s="2"/>
      <c r="M25" s="2"/>
    </row>
    <row r="26" spans="1:13" customFormat="1" ht="14">
      <c r="A26" s="46" t="s">
        <v>18</v>
      </c>
      <c r="B26" s="47">
        <f>SUM(B5:B25)</f>
        <v>-25362.563000000006</v>
      </c>
      <c r="C26" s="48">
        <f>-B26/$B$4</f>
        <v>0.94899960629476388</v>
      </c>
      <c r="D26" s="47">
        <f>SUM(D5:D25)</f>
        <v>-24372.808999999997</v>
      </c>
      <c r="E26" s="48">
        <f>-D26/$D$4</f>
        <v>0.95879750516361317</v>
      </c>
      <c r="F26" s="47">
        <f>+B26-D26</f>
        <v>-989.75400000000809</v>
      </c>
      <c r="G26" s="8"/>
      <c r="H26" s="8"/>
      <c r="I26" s="8"/>
      <c r="J26" s="8"/>
      <c r="K26" s="8"/>
      <c r="L26" s="2"/>
      <c r="M26" s="2"/>
    </row>
    <row r="27" spans="1:13" customFormat="1" ht="3.5" customHeight="1">
      <c r="A27" s="44"/>
      <c r="B27" s="45"/>
      <c r="C27" s="45"/>
      <c r="D27" s="45"/>
      <c r="E27" s="45"/>
      <c r="F27" s="45"/>
      <c r="G27" s="8"/>
      <c r="H27" s="8"/>
      <c r="I27" s="8"/>
      <c r="J27" s="8"/>
      <c r="K27" s="8"/>
      <c r="L27" s="2"/>
      <c r="M27" s="2"/>
    </row>
    <row r="28" spans="1:13" customFormat="1" ht="14">
      <c r="A28" s="53" t="s">
        <v>19</v>
      </c>
      <c r="B28" s="54">
        <f>+B4+B26</f>
        <v>1363.0149999999958</v>
      </c>
      <c r="C28" s="54"/>
      <c r="D28" s="54">
        <f>+D4+D26</f>
        <v>1047.3750000000036</v>
      </c>
      <c r="E28" s="54"/>
      <c r="F28" s="54">
        <f>+B28-D28</f>
        <v>315.63999999999214</v>
      </c>
      <c r="G28" s="8"/>
      <c r="H28" s="8"/>
      <c r="I28" s="8"/>
      <c r="J28" s="8"/>
      <c r="K28" s="8"/>
      <c r="L28" s="2"/>
      <c r="M28" s="2"/>
    </row>
    <row r="29" spans="1:13">
      <c r="A29" s="49" t="s">
        <v>21</v>
      </c>
      <c r="B29" s="55">
        <f>87.02-131.79</f>
        <v>-44.769999999999996</v>
      </c>
      <c r="C29" s="51">
        <f>B29/$B$4</f>
        <v>-1.6751742469330315E-3</v>
      </c>
      <c r="D29" s="55">
        <f>96.07-2.64</f>
        <v>93.429999999999993</v>
      </c>
      <c r="E29" s="51">
        <f>D29/$D$4</f>
        <v>3.6754257955017157E-3</v>
      </c>
      <c r="F29" s="42">
        <f>+B29-D29</f>
        <v>-138.19999999999999</v>
      </c>
    </row>
    <row r="30" spans="1:13" customFormat="1" ht="14">
      <c r="A30" s="49" t="s">
        <v>68</v>
      </c>
      <c r="B30" s="55">
        <f>-66.9-932.09+280.18</f>
        <v>-718.81</v>
      </c>
      <c r="C30" s="51">
        <f t="shared" ref="C30" si="4">-B30/$B$4</f>
        <v>2.6895957123920761E-2</v>
      </c>
      <c r="D30" s="55">
        <f>-112.445-97.36+162.055</f>
        <v>-47.75</v>
      </c>
      <c r="E30" s="51">
        <f>-D30/$D$4</f>
        <v>1.8784285747105527E-3</v>
      </c>
      <c r="F30" s="42">
        <f>+B30-D30</f>
        <v>-671.06</v>
      </c>
      <c r="G30" s="8"/>
      <c r="H30" s="8"/>
      <c r="I30" s="8"/>
      <c r="J30" s="8"/>
      <c r="K30" s="8"/>
      <c r="L30" s="2"/>
      <c r="M30" s="2"/>
    </row>
    <row r="31" spans="1:13" customFormat="1" ht="3.5" customHeight="1">
      <c r="A31" s="44"/>
      <c r="B31" s="45"/>
      <c r="C31" s="45"/>
      <c r="D31" s="45"/>
      <c r="E31" s="45"/>
      <c r="F31" s="45"/>
      <c r="G31" s="8"/>
      <c r="H31" s="8"/>
      <c r="I31" s="8"/>
      <c r="J31" s="8"/>
      <c r="K31" s="8"/>
      <c r="L31" s="2"/>
      <c r="M31" s="2"/>
    </row>
    <row r="32" spans="1:13" customFormat="1" ht="14">
      <c r="A32" s="53" t="s">
        <v>22</v>
      </c>
      <c r="B32" s="54">
        <f>SUM(B28:B31)</f>
        <v>599.43499999999585</v>
      </c>
      <c r="C32" s="54"/>
      <c r="D32" s="54">
        <f>SUM(D28:D31)</f>
        <v>1093.0550000000037</v>
      </c>
      <c r="E32" s="54"/>
      <c r="F32" s="54">
        <f>+B32-D32</f>
        <v>-493.62000000000785</v>
      </c>
      <c r="G32" s="8"/>
      <c r="H32" s="8"/>
      <c r="I32" s="8"/>
      <c r="J32" s="8"/>
      <c r="K32" s="8"/>
      <c r="L32" s="2"/>
      <c r="M32" s="2"/>
    </row>
    <row r="33" spans="1:13">
      <c r="A33" s="49" t="s">
        <v>24</v>
      </c>
      <c r="B33" s="55">
        <v>118.845</v>
      </c>
      <c r="C33" s="51">
        <f>B33/$B$4</f>
        <v>4.4468636001062352E-3</v>
      </c>
      <c r="D33" s="55">
        <v>43.58</v>
      </c>
      <c r="E33" s="51">
        <f>D33/$D$4</f>
        <v>1.7143857023222174E-3</v>
      </c>
      <c r="F33" s="42">
        <f t="shared" ref="F33:F34" si="5">+B33-D33</f>
        <v>75.265000000000001</v>
      </c>
    </row>
    <row r="34" spans="1:13" customFormat="1" ht="14">
      <c r="A34" s="49" t="s">
        <v>23</v>
      </c>
      <c r="B34" s="55">
        <v>-27.9</v>
      </c>
      <c r="C34" s="51">
        <f t="shared" ref="C34" si="6">-B34/$B$4</f>
        <v>1.0439437455758674E-3</v>
      </c>
      <c r="D34" s="55">
        <v>-32.01</v>
      </c>
      <c r="E34" s="51">
        <f>-D34/$D$4</f>
        <v>1.2592355743766448E-3</v>
      </c>
      <c r="F34" s="42">
        <f t="shared" si="5"/>
        <v>4.1099999999999994</v>
      </c>
      <c r="G34" s="8"/>
      <c r="H34" s="8"/>
      <c r="I34" s="8"/>
      <c r="J34" s="8"/>
      <c r="K34" s="8"/>
      <c r="L34" s="2"/>
      <c r="M34" s="2"/>
    </row>
    <row r="35" spans="1:13" customFormat="1" ht="3.5" customHeight="1">
      <c r="A35" s="44"/>
      <c r="B35" s="45"/>
      <c r="C35" s="45"/>
      <c r="D35" s="45"/>
      <c r="E35" s="45"/>
      <c r="F35" s="45"/>
      <c r="G35" s="8"/>
      <c r="H35" s="8"/>
      <c r="I35" s="8"/>
      <c r="J35" s="8"/>
      <c r="K35" s="8"/>
      <c r="L35" s="2"/>
      <c r="M35" s="2"/>
    </row>
    <row r="36" spans="1:13" customFormat="1" ht="14">
      <c r="A36" s="53" t="s">
        <v>25</v>
      </c>
      <c r="B36" s="54">
        <f>SUM(B33:B35)</f>
        <v>90.944999999999993</v>
      </c>
      <c r="C36" s="54"/>
      <c r="D36" s="54">
        <f>SUM(D33:D35)</f>
        <v>11.57</v>
      </c>
      <c r="E36" s="54"/>
      <c r="F36" s="54">
        <f>+B36-D36</f>
        <v>79.375</v>
      </c>
      <c r="G36" s="8"/>
      <c r="H36" s="8"/>
      <c r="I36" s="8"/>
      <c r="J36" s="8"/>
      <c r="K36" s="8"/>
      <c r="L36" s="2"/>
      <c r="M36" s="2"/>
    </row>
    <row r="37" spans="1:13" customFormat="1" ht="3.5" customHeight="1">
      <c r="A37" s="44"/>
      <c r="B37" s="45"/>
      <c r="C37" s="45"/>
      <c r="D37" s="45"/>
      <c r="E37" s="45"/>
      <c r="F37" s="45"/>
      <c r="G37" s="8"/>
      <c r="H37" s="8"/>
      <c r="I37" s="8"/>
      <c r="J37" s="8"/>
      <c r="K37" s="8"/>
      <c r="L37" s="2"/>
      <c r="M37" s="2"/>
    </row>
    <row r="38" spans="1:13" customFormat="1" ht="14">
      <c r="A38" s="53" t="s">
        <v>29</v>
      </c>
      <c r="B38" s="54">
        <f>+B32+B36</f>
        <v>690.37999999999579</v>
      </c>
      <c r="C38" s="54"/>
      <c r="D38" s="54">
        <f>+D32+D36</f>
        <v>1104.6250000000036</v>
      </c>
      <c r="E38" s="54"/>
      <c r="F38" s="54">
        <f>+B38-D38</f>
        <v>-414.24500000000785</v>
      </c>
      <c r="G38" s="8"/>
      <c r="H38" s="8"/>
      <c r="I38" s="8"/>
      <c r="J38" s="8"/>
      <c r="K38" s="8"/>
      <c r="L38" s="2"/>
      <c r="M38" s="2"/>
    </row>
    <row r="39" spans="1:13">
      <c r="A39" s="49" t="s">
        <v>27</v>
      </c>
      <c r="B39" s="55">
        <v>392</v>
      </c>
      <c r="C39" s="51">
        <f>B39/$B$4</f>
        <v>1.4667596712033692E-2</v>
      </c>
      <c r="D39" s="55">
        <v>4.95</v>
      </c>
      <c r="E39" s="51">
        <f>D39/$D$4</f>
        <v>1.9472715067680077E-4</v>
      </c>
      <c r="F39" s="42">
        <f t="shared" ref="F39:F40" si="7">+B39-D39</f>
        <v>387.05</v>
      </c>
    </row>
    <row r="40" spans="1:13" customFormat="1" ht="14">
      <c r="A40" s="49" t="s">
        <v>26</v>
      </c>
      <c r="B40" s="55">
        <v>-132.97</v>
      </c>
      <c r="C40" s="51">
        <f t="shared" ref="C40" si="8">-B40/$B$4</f>
        <v>4.9753835071406124E-3</v>
      </c>
      <c r="D40" s="55">
        <v>-45.69</v>
      </c>
      <c r="E40" s="51">
        <f>-D40/$D$4</f>
        <v>1.7973906089743487E-3</v>
      </c>
      <c r="F40" s="42">
        <f t="shared" si="7"/>
        <v>-87.28</v>
      </c>
      <c r="G40" s="8"/>
      <c r="H40" s="8"/>
      <c r="I40" s="8"/>
      <c r="J40" s="8"/>
      <c r="K40" s="8"/>
      <c r="L40" s="2"/>
      <c r="M40" s="2"/>
    </row>
    <row r="41" spans="1:13" customFormat="1" ht="3.5" customHeight="1">
      <c r="A41" s="44"/>
      <c r="B41" s="45"/>
      <c r="C41" s="45"/>
      <c r="D41" s="45"/>
      <c r="E41" s="45"/>
      <c r="F41" s="45"/>
      <c r="G41" s="8"/>
      <c r="H41" s="8"/>
      <c r="I41" s="8"/>
      <c r="J41" s="8"/>
      <c r="K41" s="8"/>
      <c r="L41" s="2"/>
      <c r="M41" s="2"/>
    </row>
    <row r="42" spans="1:13" customFormat="1" ht="14">
      <c r="A42" s="53" t="s">
        <v>28</v>
      </c>
      <c r="B42" s="54">
        <f>SUM(B39:B41)</f>
        <v>259.02999999999997</v>
      </c>
      <c r="C42" s="54"/>
      <c r="D42" s="54">
        <f>SUM(D39:D41)</f>
        <v>-40.739999999999995</v>
      </c>
      <c r="E42" s="54"/>
      <c r="F42" s="54">
        <f>+B42-D42</f>
        <v>299.77</v>
      </c>
      <c r="G42" s="8"/>
      <c r="H42" s="8"/>
      <c r="I42" s="8"/>
      <c r="J42" s="8"/>
      <c r="K42" s="8"/>
      <c r="L42" s="2"/>
      <c r="M42" s="2"/>
    </row>
    <row r="43" spans="1:13">
      <c r="A43" s="49" t="s">
        <v>30</v>
      </c>
      <c r="B43" s="55">
        <v>120.19499999999999</v>
      </c>
      <c r="C43" s="51">
        <f>B43/$B$4</f>
        <v>4.4973770071502286E-3</v>
      </c>
      <c r="D43" s="55">
        <v>164.63</v>
      </c>
      <c r="E43" s="51">
        <f>D43/$D$4</f>
        <v>6.4763496597821631E-3</v>
      </c>
      <c r="F43" s="42">
        <f t="shared" ref="F43:F44" si="9">+B43-D43</f>
        <v>-44.435000000000002</v>
      </c>
    </row>
    <row r="44" spans="1:13" customFormat="1" ht="14">
      <c r="A44" s="49" t="s">
        <v>31</v>
      </c>
      <c r="B44" s="55">
        <v>282.5</v>
      </c>
      <c r="C44" s="51">
        <f>B44/$B$4</f>
        <v>1.0570398140687547E-2</v>
      </c>
      <c r="D44" s="55">
        <v>-689.98</v>
      </c>
      <c r="E44" s="51">
        <f>D44/$D$4</f>
        <v>-2.71429978634301E-2</v>
      </c>
      <c r="F44" s="42">
        <f t="shared" si="9"/>
        <v>972.48</v>
      </c>
      <c r="G44" s="8"/>
      <c r="H44" s="8"/>
      <c r="I44" s="8"/>
      <c r="J44" s="8"/>
      <c r="K44" s="8"/>
      <c r="L44" s="2"/>
      <c r="M44" s="2"/>
    </row>
    <row r="45" spans="1:13" customFormat="1" ht="3.5" customHeight="1">
      <c r="A45" s="44"/>
      <c r="B45" s="45"/>
      <c r="C45" s="45"/>
      <c r="D45" s="45"/>
      <c r="E45" s="45"/>
      <c r="F45" s="45"/>
      <c r="G45" s="8"/>
      <c r="H45" s="8"/>
      <c r="I45" s="8"/>
      <c r="J45" s="8"/>
      <c r="K45" s="8"/>
      <c r="L45" s="2"/>
      <c r="M45" s="2"/>
    </row>
    <row r="46" spans="1:13">
      <c r="A46" s="56" t="s">
        <v>32</v>
      </c>
      <c r="B46" s="57">
        <f>+B38+B42-B43-B44</f>
        <v>546.71499999999583</v>
      </c>
      <c r="C46" s="58">
        <f>+B46/$B$4</f>
        <v>2.0456620245967956E-2</v>
      </c>
      <c r="D46" s="57">
        <f>+D38+D42-D43-D44</f>
        <v>1589.2350000000038</v>
      </c>
      <c r="E46" s="58">
        <f>+D46/$D$4</f>
        <v>6.2518626930473983E-2</v>
      </c>
      <c r="F46" s="57">
        <f>+B46-D46</f>
        <v>-1042.5200000000079</v>
      </c>
    </row>
    <row r="47" spans="1:13">
      <c r="A47" s="6"/>
      <c r="B47" s="3"/>
      <c r="C47" s="3"/>
      <c r="E47" s="3"/>
    </row>
    <row r="48" spans="1:13">
      <c r="A48" s="6"/>
      <c r="B48" s="3"/>
      <c r="C48" s="3"/>
      <c r="E48" s="3"/>
    </row>
    <row r="49" spans="1:5">
      <c r="A49" s="6"/>
      <c r="B49" s="3"/>
      <c r="C49" s="3"/>
      <c r="E49" s="3"/>
    </row>
    <row r="50" spans="1:5">
      <c r="A50" s="6"/>
      <c r="B50" s="3"/>
      <c r="C50" s="3"/>
      <c r="E50" s="3"/>
    </row>
    <row r="51" spans="1:5">
      <c r="A51" s="7"/>
    </row>
    <row r="52" spans="1:5">
      <c r="A52" s="7"/>
    </row>
    <row r="53" spans="1:5">
      <c r="A53" s="7"/>
    </row>
    <row r="54" spans="1:5">
      <c r="A54" s="7"/>
    </row>
    <row r="55" spans="1:5">
      <c r="A55" s="7"/>
    </row>
    <row r="56" spans="1:5">
      <c r="A56" s="7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/>
  <ignoredErrors>
    <ignoredError sqref="C26 C4 C46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"/>
  <sheetViews>
    <sheetView workbookViewId="0">
      <selection activeCell="F24" sqref="F24"/>
    </sheetView>
  </sheetViews>
  <sheetFormatPr baseColWidth="10" defaultRowHeight="14" x14ac:dyDescent="0"/>
  <cols>
    <col min="1" max="1" width="31.33203125" customWidth="1"/>
    <col min="4" max="11" width="10.83203125" style="10"/>
  </cols>
  <sheetData>
    <row r="2" spans="1:2" ht="28">
      <c r="A2" s="60" t="s">
        <v>77</v>
      </c>
      <c r="B2" s="61">
        <f>(9.65+8.41+10.53+8.35)%</f>
        <v>0.36940000000000006</v>
      </c>
    </row>
    <row r="3" spans="1:2">
      <c r="A3" s="62" t="s">
        <v>78</v>
      </c>
      <c r="B3" s="61">
        <v>0.52010000000000001</v>
      </c>
    </row>
    <row r="4" spans="1:2" ht="28">
      <c r="A4" s="60" t="s">
        <v>79</v>
      </c>
      <c r="B4" s="61">
        <v>8.0600000000000005E-2</v>
      </c>
    </row>
    <row r="5" spans="1:2" ht="28">
      <c r="A5" s="60" t="s">
        <v>74</v>
      </c>
      <c r="B5" s="61">
        <f>100%-B2-B3-B4</f>
        <v>2.9899999999999927E-2</v>
      </c>
    </row>
    <row r="6" spans="1:2">
      <c r="A6" s="60"/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C23" sqref="C23"/>
    </sheetView>
  </sheetViews>
  <sheetFormatPr baseColWidth="10" defaultRowHeight="14" x14ac:dyDescent="0"/>
  <cols>
    <col min="2" max="3" width="17.6640625" bestFit="1" customWidth="1"/>
  </cols>
  <sheetData>
    <row r="2" spans="1:3" s="66" customFormat="1" ht="28">
      <c r="A2" s="65" t="s">
        <v>70</v>
      </c>
      <c r="B2" s="65" t="s">
        <v>69</v>
      </c>
      <c r="C2" s="65" t="s">
        <v>71</v>
      </c>
    </row>
    <row r="3" spans="1:3">
      <c r="A3" s="64">
        <v>2009</v>
      </c>
      <c r="B3" s="63">
        <v>2271</v>
      </c>
      <c r="C3" s="63">
        <v>17</v>
      </c>
    </row>
    <row r="4" spans="1:3">
      <c r="A4" s="63">
        <v>2010</v>
      </c>
      <c r="B4" s="63">
        <v>2632</v>
      </c>
      <c r="C4" s="63">
        <v>18</v>
      </c>
    </row>
    <row r="7" spans="1:3">
      <c r="A7" s="59" t="s">
        <v>73</v>
      </c>
    </row>
    <row r="8" spans="1:3">
      <c r="A8" s="59" t="s">
        <v>72</v>
      </c>
    </row>
    <row r="11" spans="1:3">
      <c r="A11" s="67" t="s">
        <v>234</v>
      </c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zoomScale="70" zoomScaleNormal="70" zoomScalePageLayoutView="70" workbookViewId="0">
      <selection activeCell="A63" sqref="A63"/>
    </sheetView>
  </sheetViews>
  <sheetFormatPr baseColWidth="10" defaultRowHeight="14" outlineLevelRow="1" outlineLevelCol="1" x14ac:dyDescent="0"/>
  <cols>
    <col min="1" max="1" width="35.5" customWidth="1"/>
    <col min="2" max="2" width="8" style="105" customWidth="1" outlineLevel="1"/>
    <col min="3" max="3" width="5.5" style="1" customWidth="1" outlineLevel="1"/>
    <col min="4" max="4" width="8" customWidth="1" outlineLevel="1"/>
    <col min="5" max="5" width="5.5" customWidth="1" outlineLevel="1"/>
    <col min="6" max="6" width="3" style="88" customWidth="1" outlineLevel="1"/>
    <col min="7" max="7" width="8" customWidth="1"/>
    <col min="8" max="8" width="5.5" style="105" customWidth="1"/>
    <col min="9" max="9" width="6.83203125" style="105" customWidth="1"/>
    <col min="10" max="10" width="6.83203125" style="1" customWidth="1"/>
    <col min="11" max="11" width="8" style="1" bestFit="1" customWidth="1"/>
    <col min="12" max="12" width="5.5" style="105" bestFit="1" customWidth="1"/>
    <col min="13" max="13" width="6.83203125" style="105" bestFit="1" customWidth="1"/>
    <col min="14" max="14" width="6.83203125" style="1" bestFit="1" customWidth="1"/>
    <col min="15" max="15" width="11.5" style="105" customWidth="1"/>
    <col min="16" max="16" width="5.5" style="1" bestFit="1" customWidth="1"/>
    <col min="17" max="17" width="6" style="1" bestFit="1" customWidth="1"/>
    <col min="18" max="18" width="11.5" customWidth="1"/>
    <col min="19" max="19" width="25.5" bestFit="1" customWidth="1"/>
    <col min="20" max="20" width="16.1640625" customWidth="1"/>
    <col min="21" max="21" width="13" bestFit="1" customWidth="1"/>
    <col min="22" max="22" width="22.5" bestFit="1" customWidth="1"/>
    <col min="23" max="23" width="11.5" customWidth="1"/>
  </cols>
  <sheetData>
    <row r="1" spans="1:23" s="71" customFormat="1">
      <c r="A1" s="302" t="s">
        <v>20</v>
      </c>
      <c r="B1" s="301">
        <v>2008</v>
      </c>
      <c r="C1" s="299" t="s">
        <v>80</v>
      </c>
      <c r="D1" s="301">
        <v>2009</v>
      </c>
      <c r="E1" s="299" t="s">
        <v>80</v>
      </c>
      <c r="F1" s="70"/>
      <c r="G1" s="301">
        <v>2010</v>
      </c>
      <c r="H1" s="300" t="s">
        <v>80</v>
      </c>
      <c r="I1" s="300" t="s">
        <v>81</v>
      </c>
      <c r="J1" s="299" t="s">
        <v>82</v>
      </c>
      <c r="K1" s="301">
        <v>2011</v>
      </c>
      <c r="L1" s="300" t="s">
        <v>80</v>
      </c>
      <c r="M1" s="300" t="s">
        <v>81</v>
      </c>
      <c r="N1" s="299" t="s">
        <v>82</v>
      </c>
    </row>
    <row r="2" spans="1:23" s="71" customFormat="1">
      <c r="A2" s="302"/>
      <c r="B2" s="301"/>
      <c r="C2" s="299"/>
      <c r="D2" s="301"/>
      <c r="E2" s="299"/>
      <c r="F2" s="72"/>
      <c r="G2" s="301"/>
      <c r="H2" s="300"/>
      <c r="I2" s="300"/>
      <c r="J2" s="299"/>
      <c r="K2" s="301"/>
      <c r="L2" s="300"/>
      <c r="M2" s="300"/>
      <c r="N2" s="299"/>
    </row>
    <row r="3" spans="1:23" s="71" customFormat="1" ht="6" customHeight="1">
      <c r="A3" s="73"/>
      <c r="B3" s="73"/>
      <c r="C3" s="72"/>
      <c r="D3" s="73"/>
      <c r="E3" s="70"/>
      <c r="F3" s="72"/>
      <c r="G3" s="73"/>
      <c r="H3" s="72"/>
      <c r="I3" s="72"/>
      <c r="J3" s="70"/>
      <c r="K3" s="73"/>
      <c r="L3" s="72"/>
      <c r="M3" s="72"/>
      <c r="N3" s="70"/>
    </row>
    <row r="4" spans="1:23" s="71" customFormat="1" outlineLevel="1">
      <c r="A4" s="74" t="s">
        <v>0</v>
      </c>
      <c r="B4" s="75">
        <f>25420.184</f>
        <v>25420.184000000001</v>
      </c>
      <c r="C4" s="76">
        <f>B4/$B$8</f>
        <v>1</v>
      </c>
      <c r="D4" s="75">
        <f>26725.578</f>
        <v>26725.578000000001</v>
      </c>
      <c r="E4" s="77">
        <f>D4/$D$8</f>
        <v>1</v>
      </c>
      <c r="F4" s="76"/>
      <c r="G4" s="75">
        <f>16217+T15+U15-1000</f>
        <v>22555.600000000002</v>
      </c>
      <c r="H4" s="76">
        <f>G4/$G$8</f>
        <v>1</v>
      </c>
      <c r="I4" s="78">
        <f>G4-D4</f>
        <v>-4169.9779999999992</v>
      </c>
      <c r="J4" s="77">
        <f>(G4-D4)/D4</f>
        <v>-0.15602947857666535</v>
      </c>
      <c r="K4" s="75">
        <f>W16</f>
        <v>26768.9</v>
      </c>
      <c r="L4" s="76">
        <f>K4/K4</f>
        <v>1</v>
      </c>
      <c r="M4" s="78">
        <f>K4-G4</f>
        <v>4213.2999999999993</v>
      </c>
      <c r="N4" s="77">
        <f>(K4-G4)/G4</f>
        <v>0.18679618365284004</v>
      </c>
    </row>
    <row r="5" spans="1:23" s="89" customFormat="1" outlineLevel="1">
      <c r="A5" s="79" t="s">
        <v>83</v>
      </c>
      <c r="B5" s="80">
        <v>1800</v>
      </c>
      <c r="C5" s="81">
        <f t="shared" ref="C5:C6" si="0">B5/$B$8</f>
        <v>7.0809872973382093E-2</v>
      </c>
      <c r="D5" s="80">
        <v>2505.6</v>
      </c>
      <c r="E5" s="81">
        <f t="shared" ref="E5:E6" si="1">D5/$D$8</f>
        <v>9.3752883473652085E-2</v>
      </c>
      <c r="F5" s="82"/>
      <c r="G5" s="80">
        <v>3484.3</v>
      </c>
      <c r="H5" s="82">
        <f t="shared" ref="H5:H6" si="2">G5/$G$8</f>
        <v>0.15447605029349695</v>
      </c>
      <c r="I5" s="83">
        <f t="shared" ref="I5:I6" si="3">G5-D5</f>
        <v>978.70000000000027</v>
      </c>
      <c r="J5" s="81">
        <f>(G5-D5)/D5</f>
        <v>0.39060504469987239</v>
      </c>
      <c r="K5" s="84"/>
      <c r="L5" s="85"/>
      <c r="M5" s="78"/>
      <c r="N5" s="86"/>
      <c r="O5" s="87"/>
      <c r="P5" s="88"/>
      <c r="Q5" s="88"/>
    </row>
    <row r="6" spans="1:23" s="89" customFormat="1" outlineLevel="1">
      <c r="A6" s="79" t="s">
        <v>84</v>
      </c>
      <c r="B6" s="80">
        <f>1620+7139+849+8230+285+680-8518+3500</f>
        <v>13785</v>
      </c>
      <c r="C6" s="81">
        <f t="shared" si="0"/>
        <v>0.54228561052115121</v>
      </c>
      <c r="D6" s="80">
        <f>2900+3500+3800+4900+2505</f>
        <v>17605</v>
      </c>
      <c r="E6" s="81">
        <f t="shared" si="1"/>
        <v>0.65873224519222739</v>
      </c>
      <c r="F6" s="82"/>
      <c r="G6" s="80">
        <f>10300+3602</f>
        <v>13902</v>
      </c>
      <c r="H6" s="82">
        <f t="shared" si="2"/>
        <v>0.61634361311603325</v>
      </c>
      <c r="I6" s="83">
        <f t="shared" si="3"/>
        <v>-3703</v>
      </c>
      <c r="J6" s="81">
        <f>(G6-D6)/D6</f>
        <v>-0.21033797216699801</v>
      </c>
      <c r="K6" s="84"/>
      <c r="L6" s="85"/>
      <c r="M6" s="78"/>
      <c r="N6" s="86"/>
      <c r="S6" s="90" t="s">
        <v>85</v>
      </c>
      <c r="T6" s="89" t="s">
        <v>86</v>
      </c>
      <c r="U6" s="89" t="s">
        <v>87</v>
      </c>
      <c r="V6" s="90" t="s">
        <v>88</v>
      </c>
      <c r="W6" s="91">
        <v>2011</v>
      </c>
    </row>
    <row r="7" spans="1:23" s="71" customFormat="1" ht="6" customHeight="1">
      <c r="A7" s="74"/>
      <c r="B7" s="75"/>
      <c r="C7" s="76"/>
      <c r="D7" s="75"/>
      <c r="E7" s="77"/>
      <c r="F7" s="76"/>
      <c r="G7" s="75"/>
      <c r="H7" s="76"/>
      <c r="I7" s="76"/>
      <c r="J7" s="77"/>
      <c r="K7" s="75"/>
      <c r="L7" s="76"/>
      <c r="M7" s="76"/>
      <c r="N7" s="77"/>
    </row>
    <row r="8" spans="1:23" s="71" customFormat="1" collapsed="1">
      <c r="A8" s="92" t="s">
        <v>1</v>
      </c>
      <c r="B8" s="93">
        <f>B4</f>
        <v>25420.184000000001</v>
      </c>
      <c r="C8" s="94">
        <f>C4</f>
        <v>1</v>
      </c>
      <c r="D8" s="93">
        <f>D4</f>
        <v>26725.578000000001</v>
      </c>
      <c r="E8" s="95">
        <f>E4</f>
        <v>1</v>
      </c>
      <c r="F8" s="85"/>
      <c r="G8" s="93">
        <f>G4</f>
        <v>22555.600000000002</v>
      </c>
      <c r="H8" s="94">
        <f>+G8/G8</f>
        <v>1</v>
      </c>
      <c r="I8" s="96">
        <f>I4</f>
        <v>-4169.9779999999992</v>
      </c>
      <c r="J8" s="95">
        <f>(G8-D8)/D8</f>
        <v>-0.15602947857666535</v>
      </c>
      <c r="K8" s="93">
        <f>K4</f>
        <v>26768.9</v>
      </c>
      <c r="L8" s="94">
        <f>L4</f>
        <v>1</v>
      </c>
      <c r="M8" s="96">
        <f>SUM(M4:M7)</f>
        <v>4213.2999999999993</v>
      </c>
      <c r="N8" s="95">
        <f>(K8-G8)/G8</f>
        <v>0.18679618365284004</v>
      </c>
      <c r="S8" s="68" t="s">
        <v>235</v>
      </c>
      <c r="T8" s="97">
        <f>541.9</f>
        <v>541.9</v>
      </c>
      <c r="U8" s="97">
        <f>573.9+200</f>
        <v>773.9</v>
      </c>
      <c r="V8" t="s">
        <v>89</v>
      </c>
      <c r="W8" s="98">
        <f>+G4-T15-U15+1000</f>
        <v>16217.000000000004</v>
      </c>
    </row>
    <row r="9" spans="1:23" s="91" customFormat="1" ht="6" customHeight="1">
      <c r="A9" s="99"/>
      <c r="B9" s="84"/>
      <c r="C9" s="72"/>
      <c r="D9" s="84"/>
      <c r="E9" s="70"/>
      <c r="F9" s="76"/>
      <c r="G9" s="84"/>
      <c r="H9" s="72"/>
      <c r="I9" s="72"/>
      <c r="J9" s="77"/>
      <c r="K9" s="84"/>
      <c r="L9" s="72"/>
      <c r="M9" s="72"/>
      <c r="N9" s="77"/>
      <c r="S9" s="100"/>
      <c r="T9" s="97"/>
      <c r="U9" s="97"/>
    </row>
    <row r="10" spans="1:23">
      <c r="A10" s="101" t="s">
        <v>2</v>
      </c>
      <c r="B10" s="75">
        <f>-1187.97-140.534</f>
        <v>-1328.5039999999999</v>
      </c>
      <c r="C10" s="102">
        <f t="shared" ref="C10:C29" si="4">-B10/$B$4</f>
        <v>5.226177749146111E-2</v>
      </c>
      <c r="D10" s="75">
        <v>-2589.0520000000001</v>
      </c>
      <c r="E10" s="103">
        <f t="shared" ref="E10:E29" si="5">-D10/$D$4</f>
        <v>9.6875435210419025E-2</v>
      </c>
      <c r="F10" s="76"/>
      <c r="G10" s="75">
        <v>-255</v>
      </c>
      <c r="H10" s="102">
        <f t="shared" ref="H10:H29" si="6">-G10/$G$8</f>
        <v>1.1305396442568585E-2</v>
      </c>
      <c r="I10" s="78">
        <f t="shared" ref="I10:I29" si="7">G10-D10</f>
        <v>2334.0520000000001</v>
      </c>
      <c r="J10" s="77">
        <f t="shared" ref="J10:J29" si="8">(G10-D10)/D10</f>
        <v>-0.90150835131932461</v>
      </c>
      <c r="K10" s="104">
        <v>-66.5</v>
      </c>
      <c r="L10" s="102">
        <f t="shared" ref="L10:L29" si="9">-K10/$K$8</f>
        <v>2.4842260981960407E-3</v>
      </c>
      <c r="M10" s="78">
        <f t="shared" ref="M10:M29" si="10">K10-G10</f>
        <v>188.5</v>
      </c>
      <c r="N10" s="77">
        <f t="shared" ref="N10:N29" si="11">(K10-G10)/G10</f>
        <v>-0.73921568627450984</v>
      </c>
      <c r="S10" s="68" t="s">
        <v>236</v>
      </c>
      <c r="T10" s="97">
        <v>680</v>
      </c>
      <c r="U10" s="97">
        <v>600</v>
      </c>
      <c r="V10" t="s">
        <v>90</v>
      </c>
      <c r="W10" s="98">
        <v>180</v>
      </c>
    </row>
    <row r="11" spans="1:23">
      <c r="A11" s="101" t="s">
        <v>91</v>
      </c>
      <c r="B11" s="75">
        <v>140.53399999999999</v>
      </c>
      <c r="C11" s="102">
        <f t="shared" si="4"/>
        <v>-5.5284414935784882E-3</v>
      </c>
      <c r="D11" s="75">
        <v>-168.46299999999999</v>
      </c>
      <c r="E11" s="103">
        <f t="shared" si="5"/>
        <v>6.3034371043350305E-3</v>
      </c>
      <c r="F11" s="76"/>
      <c r="G11" s="75">
        <v>-120.746</v>
      </c>
      <c r="H11" s="102">
        <f t="shared" si="6"/>
        <v>5.3532603876642604E-3</v>
      </c>
      <c r="I11" s="78">
        <f t="shared" si="7"/>
        <v>47.716999999999999</v>
      </c>
      <c r="J11" s="77">
        <f t="shared" si="8"/>
        <v>-0.28324914076087926</v>
      </c>
      <c r="K11" s="106">
        <v>0</v>
      </c>
      <c r="L11" s="102">
        <f t="shared" si="9"/>
        <v>0</v>
      </c>
      <c r="M11" s="78">
        <f t="shared" si="10"/>
        <v>120.746</v>
      </c>
      <c r="N11" s="77">
        <f t="shared" si="11"/>
        <v>-1</v>
      </c>
      <c r="S11" s="68" t="s">
        <v>237</v>
      </c>
      <c r="T11" s="97">
        <v>1760</v>
      </c>
      <c r="U11" s="97"/>
      <c r="V11" t="s">
        <v>92</v>
      </c>
      <c r="W11" s="98">
        <v>2000</v>
      </c>
    </row>
    <row r="12" spans="1:23">
      <c r="A12" s="101" t="s">
        <v>93</v>
      </c>
      <c r="B12" s="75">
        <f>-8522.299+4.6</f>
        <v>-8517.6990000000005</v>
      </c>
      <c r="C12" s="102">
        <f t="shared" si="4"/>
        <v>0.3350762134530576</v>
      </c>
      <c r="D12" s="75">
        <f>-3899.595+43.9</f>
        <v>-3855.6949999999997</v>
      </c>
      <c r="E12" s="103">
        <f t="shared" si="5"/>
        <v>0.14426984516480801</v>
      </c>
      <c r="F12" s="76"/>
      <c r="G12" s="75">
        <f>-T19</f>
        <v>-2707.3</v>
      </c>
      <c r="H12" s="102">
        <f t="shared" si="6"/>
        <v>0.12002784230967033</v>
      </c>
      <c r="I12" s="78">
        <f t="shared" si="7"/>
        <v>1148.3949999999995</v>
      </c>
      <c r="J12" s="77">
        <f t="shared" si="8"/>
        <v>-0.29784383878911574</v>
      </c>
      <c r="K12" s="107">
        <f>-T20-T18-W14</f>
        <v>-6627.3</v>
      </c>
      <c r="L12" s="102">
        <f t="shared" si="9"/>
        <v>0.24757461083570859</v>
      </c>
      <c r="M12" s="78">
        <f t="shared" si="10"/>
        <v>-3920</v>
      </c>
      <c r="N12" s="77">
        <f t="shared" si="11"/>
        <v>1.4479370590625344</v>
      </c>
      <c r="S12" s="68" t="s">
        <v>238</v>
      </c>
      <c r="T12" s="97">
        <v>300</v>
      </c>
      <c r="U12" s="97">
        <v>300</v>
      </c>
      <c r="V12" t="s">
        <v>94</v>
      </c>
      <c r="W12" s="98">
        <v>300</v>
      </c>
    </row>
    <row r="13" spans="1:23">
      <c r="A13" s="101" t="s">
        <v>95</v>
      </c>
      <c r="B13" s="75">
        <v>-2516.9859999999999</v>
      </c>
      <c r="C13" s="102">
        <f t="shared" si="4"/>
        <v>9.9015254964322827E-2</v>
      </c>
      <c r="D13" s="75">
        <v>-3305.6770000000001</v>
      </c>
      <c r="E13" s="103">
        <f t="shared" si="5"/>
        <v>0.12368963544960562</v>
      </c>
      <c r="F13" s="76"/>
      <c r="G13" s="75">
        <v>-3708.6</v>
      </c>
      <c r="H13" s="102">
        <f t="shared" si="6"/>
        <v>0.1644203656741563</v>
      </c>
      <c r="I13" s="78">
        <f t="shared" si="7"/>
        <v>-402.92299999999977</v>
      </c>
      <c r="J13" s="77">
        <f t="shared" si="8"/>
        <v>0.12188819415811035</v>
      </c>
      <c r="K13" s="107">
        <f>+G13+1700</f>
        <v>-2008.6</v>
      </c>
      <c r="L13" s="102">
        <f t="shared" si="9"/>
        <v>7.503483520054989E-2</v>
      </c>
      <c r="M13" s="78">
        <f t="shared" si="10"/>
        <v>1700</v>
      </c>
      <c r="N13" s="77">
        <f t="shared" si="11"/>
        <v>-0.45839400312786499</v>
      </c>
      <c r="S13" s="68" t="s">
        <v>96</v>
      </c>
      <c r="T13" s="97">
        <f>870</f>
        <v>870</v>
      </c>
      <c r="U13" s="97">
        <v>850</v>
      </c>
      <c r="V13" t="s">
        <v>246</v>
      </c>
      <c r="W13" s="98">
        <v>0</v>
      </c>
    </row>
    <row r="14" spans="1:23">
      <c r="A14" s="101" t="s">
        <v>3</v>
      </c>
      <c r="B14" s="75">
        <v>-116.688</v>
      </c>
      <c r="C14" s="102">
        <f t="shared" si="4"/>
        <v>4.5903680319544496E-3</v>
      </c>
      <c r="D14" s="75">
        <v>-116.666</v>
      </c>
      <c r="E14" s="103">
        <f t="shared" si="5"/>
        <v>4.365331219403374E-3</v>
      </c>
      <c r="F14" s="76"/>
      <c r="G14" s="75">
        <v>-183</v>
      </c>
      <c r="H14" s="102">
        <f t="shared" si="6"/>
        <v>8.1132845058433378E-3</v>
      </c>
      <c r="I14" s="78">
        <f t="shared" si="7"/>
        <v>-66.334000000000003</v>
      </c>
      <c r="J14" s="77">
        <f t="shared" si="8"/>
        <v>0.56858039188795373</v>
      </c>
      <c r="K14" s="107">
        <v>-212</v>
      </c>
      <c r="L14" s="102">
        <f t="shared" si="9"/>
        <v>7.919638087482115E-3</v>
      </c>
      <c r="M14" s="78">
        <f t="shared" si="10"/>
        <v>-29</v>
      </c>
      <c r="N14" s="77">
        <f t="shared" si="11"/>
        <v>0.15846994535519127</v>
      </c>
      <c r="P14" s="280"/>
      <c r="Q14" s="108"/>
      <c r="S14" s="68" t="s">
        <v>239</v>
      </c>
      <c r="T14" s="97">
        <v>0</v>
      </c>
      <c r="U14" s="97">
        <v>662.8</v>
      </c>
      <c r="V14" t="s">
        <v>247</v>
      </c>
      <c r="W14" s="98">
        <v>3920</v>
      </c>
    </row>
    <row r="15" spans="1:23" ht="15" thickBot="1">
      <c r="A15" s="101" t="s">
        <v>33</v>
      </c>
      <c r="B15" s="75">
        <v>-141.83099999999999</v>
      </c>
      <c r="C15" s="102">
        <f t="shared" si="4"/>
        <v>5.5794639409376418E-3</v>
      </c>
      <c r="D15" s="75">
        <v>-321.08699999999999</v>
      </c>
      <c r="E15" s="103">
        <f t="shared" si="5"/>
        <v>1.2014220983359086E-2</v>
      </c>
      <c r="F15" s="76"/>
      <c r="G15" s="75">
        <v>-278.2</v>
      </c>
      <c r="H15" s="102">
        <f t="shared" si="6"/>
        <v>1.2333965844402276E-2</v>
      </c>
      <c r="I15" s="78">
        <f t="shared" si="7"/>
        <v>42.887</v>
      </c>
      <c r="J15" s="77">
        <f t="shared" si="8"/>
        <v>-0.13356816065427751</v>
      </c>
      <c r="K15" s="106">
        <v>0</v>
      </c>
      <c r="L15" s="102">
        <f t="shared" si="9"/>
        <v>0</v>
      </c>
      <c r="M15" s="78">
        <f t="shared" si="10"/>
        <v>278.2</v>
      </c>
      <c r="N15" s="77">
        <f t="shared" si="11"/>
        <v>-1</v>
      </c>
      <c r="T15" s="109">
        <f>SUM(T8:T14)</f>
        <v>4151.8999999999996</v>
      </c>
      <c r="U15" s="109">
        <f>SUM(U8:U14)</f>
        <v>3186.7</v>
      </c>
    </row>
    <row r="16" spans="1:23" ht="16" thickTop="1" thickBot="1">
      <c r="A16" s="101" t="s">
        <v>4</v>
      </c>
      <c r="B16" s="75">
        <v>-795.97799999999995</v>
      </c>
      <c r="C16" s="102">
        <f t="shared" si="4"/>
        <v>3.1312833927559292E-2</v>
      </c>
      <c r="D16" s="75">
        <v>-1423.606</v>
      </c>
      <c r="E16" s="103">
        <f t="shared" si="5"/>
        <v>5.3267547665386314E-2</v>
      </c>
      <c r="F16" s="76"/>
      <c r="G16" s="75">
        <v>-2051</v>
      </c>
      <c r="H16" s="102">
        <f t="shared" si="6"/>
        <v>9.0930855308659478E-2</v>
      </c>
      <c r="I16" s="78">
        <f t="shared" si="7"/>
        <v>-627.39400000000001</v>
      </c>
      <c r="J16" s="77">
        <f t="shared" si="8"/>
        <v>0.44070761151610771</v>
      </c>
      <c r="K16" s="107">
        <v>-1933.2655099999997</v>
      </c>
      <c r="L16" s="102">
        <f t="shared" si="9"/>
        <v>7.2220580972695916E-2</v>
      </c>
      <c r="M16" s="78">
        <f t="shared" si="10"/>
        <v>117.73449000000028</v>
      </c>
      <c r="N16" s="77">
        <f t="shared" si="11"/>
        <v>-5.7403456850317051E-2</v>
      </c>
      <c r="W16" s="110">
        <f>SUM(W8:W14)+T15</f>
        <v>26768.9</v>
      </c>
    </row>
    <row r="17" spans="1:23" ht="15" thickTop="1">
      <c r="A17" s="101" t="s">
        <v>5</v>
      </c>
      <c r="B17" s="75">
        <v>-65.066999999999993</v>
      </c>
      <c r="C17" s="102">
        <f t="shared" si="4"/>
        <v>2.5596588915328066E-3</v>
      </c>
      <c r="D17" s="75">
        <v>-68.376999999999995</v>
      </c>
      <c r="E17" s="103">
        <f t="shared" si="5"/>
        <v>2.5584853581089992E-3</v>
      </c>
      <c r="F17" s="76"/>
      <c r="G17" s="75">
        <v>-73.3</v>
      </c>
      <c r="H17" s="102">
        <f t="shared" si="6"/>
        <v>3.249747291138342E-3</v>
      </c>
      <c r="I17" s="78">
        <f t="shared" si="7"/>
        <v>-4.9230000000000018</v>
      </c>
      <c r="J17" s="77">
        <f t="shared" si="8"/>
        <v>7.1997894028693887E-2</v>
      </c>
      <c r="K17" s="107">
        <v>-51.1</v>
      </c>
      <c r="L17" s="102">
        <f t="shared" si="9"/>
        <v>1.9089316333506419E-3</v>
      </c>
      <c r="M17" s="78">
        <f t="shared" si="10"/>
        <v>22.199999999999996</v>
      </c>
      <c r="N17" s="77">
        <f t="shared" si="11"/>
        <v>-0.30286493860845837</v>
      </c>
      <c r="S17" s="90" t="s">
        <v>97</v>
      </c>
    </row>
    <row r="18" spans="1:23">
      <c r="A18" s="101" t="s">
        <v>6</v>
      </c>
      <c r="B18" s="75">
        <f>-8.34-3.894</f>
        <v>-12.234</v>
      </c>
      <c r="C18" s="102">
        <f t="shared" si="4"/>
        <v>4.8127110330908695E-4</v>
      </c>
      <c r="D18" s="75">
        <f>-4.909-3.389</f>
        <v>-8.298</v>
      </c>
      <c r="E18" s="103">
        <f t="shared" si="5"/>
        <v>3.1048907529708058E-4</v>
      </c>
      <c r="F18" s="76"/>
      <c r="G18" s="75">
        <v>-13.05</v>
      </c>
      <c r="H18" s="102">
        <f t="shared" si="6"/>
        <v>5.7857028853145116E-4</v>
      </c>
      <c r="I18" s="78">
        <f t="shared" si="7"/>
        <v>-4.7520000000000007</v>
      </c>
      <c r="J18" s="77">
        <f t="shared" si="8"/>
        <v>0.57266811279826468</v>
      </c>
      <c r="K18" s="107">
        <v>-16.7</v>
      </c>
      <c r="L18" s="102">
        <f t="shared" si="9"/>
        <v>6.2385828330637416E-4</v>
      </c>
      <c r="M18" s="78">
        <f t="shared" si="10"/>
        <v>-3.6499999999999986</v>
      </c>
      <c r="N18" s="77">
        <f t="shared" si="11"/>
        <v>0.27969348659003818</v>
      </c>
      <c r="S18" s="68" t="s">
        <v>98</v>
      </c>
      <c r="T18" s="105">
        <v>2707.3</v>
      </c>
      <c r="V18" t="s">
        <v>99</v>
      </c>
      <c r="W18" s="98">
        <f>W14+T18</f>
        <v>6627.3</v>
      </c>
    </row>
    <row r="19" spans="1:23">
      <c r="A19" s="101" t="s">
        <v>7</v>
      </c>
      <c r="B19" s="75">
        <v>-61.575000000000003</v>
      </c>
      <c r="C19" s="102">
        <f t="shared" si="4"/>
        <v>2.422287737964446E-3</v>
      </c>
      <c r="D19" s="75">
        <v>-92.902000000000001</v>
      </c>
      <c r="E19" s="103">
        <f t="shared" si="5"/>
        <v>3.476145586074883E-3</v>
      </c>
      <c r="F19" s="76"/>
      <c r="G19" s="75">
        <v>-123.9</v>
      </c>
      <c r="H19" s="102">
        <f t="shared" si="6"/>
        <v>5.4930926244480304E-3</v>
      </c>
      <c r="I19" s="78">
        <f t="shared" si="7"/>
        <v>-30.998000000000005</v>
      </c>
      <c r="J19" s="77">
        <f t="shared" si="8"/>
        <v>0.3336634302813718</v>
      </c>
      <c r="K19" s="107">
        <v>-167.2</v>
      </c>
      <c r="L19" s="102">
        <f t="shared" si="9"/>
        <v>6.2460541897500447E-3</v>
      </c>
      <c r="M19" s="78">
        <f t="shared" si="10"/>
        <v>-43.299999999999983</v>
      </c>
      <c r="N19" s="77">
        <f t="shared" si="11"/>
        <v>0.34947538337368833</v>
      </c>
      <c r="S19" s="68" t="s">
        <v>100</v>
      </c>
      <c r="T19" s="105">
        <v>2707.3</v>
      </c>
      <c r="V19" t="s">
        <v>101</v>
      </c>
      <c r="W19" s="105">
        <f>T20</f>
        <v>0</v>
      </c>
    </row>
    <row r="20" spans="1:23" ht="15" thickBot="1">
      <c r="A20" s="101" t="s">
        <v>8</v>
      </c>
      <c r="B20" s="75">
        <v>-8.8829999999999991</v>
      </c>
      <c r="C20" s="102">
        <f t="shared" si="4"/>
        <v>3.4944672312364061E-4</v>
      </c>
      <c r="D20" s="75">
        <v>-11.369</v>
      </c>
      <c r="E20" s="103">
        <f t="shared" si="5"/>
        <v>4.2539772198752819E-4</v>
      </c>
      <c r="F20" s="76"/>
      <c r="G20" s="75">
        <v>-0.9</v>
      </c>
      <c r="H20" s="102">
        <f t="shared" si="6"/>
        <v>3.9901399209065595E-5</v>
      </c>
      <c r="I20" s="78">
        <f t="shared" si="7"/>
        <v>10.468999999999999</v>
      </c>
      <c r="J20" s="77">
        <f t="shared" si="8"/>
        <v>-0.92083736476383149</v>
      </c>
      <c r="K20" s="107">
        <v>-5</v>
      </c>
      <c r="L20" s="102">
        <f t="shared" si="9"/>
        <v>1.8678391715759707E-4</v>
      </c>
      <c r="M20" s="78">
        <f t="shared" si="10"/>
        <v>-4.0999999999999996</v>
      </c>
      <c r="N20" s="77">
        <f t="shared" si="11"/>
        <v>4.5555555555555554</v>
      </c>
      <c r="S20" s="68" t="s">
        <v>102</v>
      </c>
      <c r="T20" s="109">
        <f>T18-T19</f>
        <v>0</v>
      </c>
      <c r="W20" s="109">
        <f>SUM(W18:W19)</f>
        <v>6627.3</v>
      </c>
    </row>
    <row r="21" spans="1:23" ht="15" thickTop="1">
      <c r="A21" s="101" t="s">
        <v>9</v>
      </c>
      <c r="B21" s="75">
        <v>-697.45899999999995</v>
      </c>
      <c r="C21" s="102">
        <f t="shared" si="4"/>
        <v>2.7437212885634499E-2</v>
      </c>
      <c r="D21" s="75">
        <v>-912.63300000000004</v>
      </c>
      <c r="E21" s="103">
        <f t="shared" si="5"/>
        <v>3.4148297933911852E-2</v>
      </c>
      <c r="F21" s="76"/>
      <c r="G21" s="75">
        <v>-742.6</v>
      </c>
      <c r="H21" s="102">
        <f t="shared" si="6"/>
        <v>3.2923087836280125E-2</v>
      </c>
      <c r="I21" s="78">
        <f t="shared" si="7"/>
        <v>170.03300000000002</v>
      </c>
      <c r="J21" s="77">
        <f t="shared" si="8"/>
        <v>-0.18631037887080568</v>
      </c>
      <c r="K21" s="107">
        <f>G21</f>
        <v>-742.6</v>
      </c>
      <c r="L21" s="102">
        <f t="shared" si="9"/>
        <v>2.7741147376246316E-2</v>
      </c>
      <c r="M21" s="111">
        <f t="shared" si="10"/>
        <v>0</v>
      </c>
      <c r="N21" s="77">
        <f t="shared" si="11"/>
        <v>0</v>
      </c>
    </row>
    <row r="22" spans="1:23">
      <c r="A22" s="101" t="s">
        <v>10</v>
      </c>
      <c r="B22" s="75">
        <f>-2075.77-344.316</f>
        <v>-2420.0859999999998</v>
      </c>
      <c r="C22" s="102">
        <f t="shared" si="4"/>
        <v>9.5203323469255752E-2</v>
      </c>
      <c r="D22" s="75">
        <f>-2494.895-426.933</f>
        <v>-2921.828</v>
      </c>
      <c r="E22" s="103">
        <f t="shared" si="5"/>
        <v>0.10932702746410199</v>
      </c>
      <c r="F22" s="112"/>
      <c r="G22" s="75">
        <f>-2754.4-200.9-877.8</f>
        <v>-3833.1000000000004</v>
      </c>
      <c r="H22" s="102">
        <f t="shared" si="6"/>
        <v>0.16994005923141037</v>
      </c>
      <c r="I22" s="78">
        <f t="shared" si="7"/>
        <v>-911.27200000000039</v>
      </c>
      <c r="J22" s="77">
        <f t="shared" si="8"/>
        <v>0.31188420399831901</v>
      </c>
      <c r="K22" s="107">
        <f>+G22+2100</f>
        <v>-1733.1000000000004</v>
      </c>
      <c r="L22" s="102">
        <f t="shared" si="9"/>
        <v>6.4743041365166301E-2</v>
      </c>
      <c r="M22" s="78">
        <f t="shared" si="10"/>
        <v>2100</v>
      </c>
      <c r="N22" s="77">
        <f t="shared" si="11"/>
        <v>-0.54785943492212563</v>
      </c>
      <c r="T22" s="71">
        <v>2010</v>
      </c>
      <c r="U22" s="71">
        <v>2011</v>
      </c>
    </row>
    <row r="23" spans="1:23">
      <c r="A23" s="101" t="s">
        <v>11</v>
      </c>
      <c r="B23" s="75">
        <v>-1479.5129999999999</v>
      </c>
      <c r="C23" s="102">
        <f t="shared" si="4"/>
        <v>5.8202293106926366E-2</v>
      </c>
      <c r="D23" s="75">
        <v>-2220.9490000000001</v>
      </c>
      <c r="E23" s="103">
        <f t="shared" si="5"/>
        <v>8.3102000637741119E-2</v>
      </c>
      <c r="F23" s="112"/>
      <c r="G23" s="75">
        <f>-578.4-1356.8</f>
        <v>-1935.1999999999998</v>
      </c>
      <c r="H23" s="102">
        <f t="shared" si="6"/>
        <v>8.5796875277093038E-2</v>
      </c>
      <c r="I23" s="78">
        <f t="shared" si="7"/>
        <v>285.74900000000025</v>
      </c>
      <c r="J23" s="77">
        <f t="shared" si="8"/>
        <v>-0.12866076618598637</v>
      </c>
      <c r="K23" s="107">
        <f>+G23+450</f>
        <v>-1485.1999999999998</v>
      </c>
      <c r="L23" s="102">
        <f t="shared" si="9"/>
        <v>5.5482294752492618E-2</v>
      </c>
      <c r="M23" s="78">
        <f t="shared" si="10"/>
        <v>450</v>
      </c>
      <c r="N23" s="77">
        <f t="shared" si="11"/>
        <v>-0.232534105002067</v>
      </c>
      <c r="S23" s="113" t="s">
        <v>103</v>
      </c>
      <c r="T23" s="105">
        <v>877.8</v>
      </c>
      <c r="U23" s="105">
        <v>552</v>
      </c>
    </row>
    <row r="24" spans="1:23">
      <c r="A24" s="101" t="s">
        <v>12</v>
      </c>
      <c r="B24" s="114">
        <v>-278.93099999999998</v>
      </c>
      <c r="C24" s="102">
        <f t="shared" si="4"/>
        <v>1.0972815932410245E-2</v>
      </c>
      <c r="D24" s="114">
        <v>-406.65100000000001</v>
      </c>
      <c r="E24" s="103">
        <f t="shared" si="5"/>
        <v>1.5215798139145953E-2</v>
      </c>
      <c r="F24" s="112"/>
      <c r="G24" s="75">
        <f>-212-267.5</f>
        <v>-479.5</v>
      </c>
      <c r="H24" s="102">
        <f t="shared" si="6"/>
        <v>2.1258578800829948E-2</v>
      </c>
      <c r="I24" s="78">
        <f t="shared" si="7"/>
        <v>-72.84899999999999</v>
      </c>
      <c r="J24" s="77">
        <f t="shared" si="8"/>
        <v>0.17914378668686415</v>
      </c>
      <c r="K24" s="107">
        <f>-239.8732-267</f>
        <v>-506.8732</v>
      </c>
      <c r="L24" s="102">
        <f t="shared" si="9"/>
        <v>1.8935152359641223E-2</v>
      </c>
      <c r="M24" s="78">
        <f t="shared" si="10"/>
        <v>-27.373199999999997</v>
      </c>
      <c r="N24" s="77">
        <f t="shared" si="11"/>
        <v>5.7086965589155367E-2</v>
      </c>
      <c r="S24" s="113" t="s">
        <v>104</v>
      </c>
      <c r="T24" s="105">
        <v>1356.6</v>
      </c>
      <c r="U24" s="115">
        <v>255.0402</v>
      </c>
    </row>
    <row r="25" spans="1:23">
      <c r="A25" s="101" t="s">
        <v>13</v>
      </c>
      <c r="B25" s="75">
        <f>-211.107-16.12-21.608-23.592-45.156-0.722</f>
        <v>-318.30500000000001</v>
      </c>
      <c r="C25" s="102">
        <f t="shared" si="4"/>
        <v>1.2521742564884661E-2</v>
      </c>
      <c r="D25" s="75">
        <f>-270.507-22.352-13.845-1.026-11.651-1.77</f>
        <v>-321.15100000000001</v>
      </c>
      <c r="E25" s="103">
        <f t="shared" si="5"/>
        <v>1.2016615693026358E-2</v>
      </c>
      <c r="F25" s="76"/>
      <c r="G25" s="75">
        <f>-292</f>
        <v>-292</v>
      </c>
      <c r="H25" s="102">
        <f t="shared" si="6"/>
        <v>1.2945787298941282E-2</v>
      </c>
      <c r="I25" s="78">
        <f t="shared" si="7"/>
        <v>29.15100000000001</v>
      </c>
      <c r="J25" s="77">
        <f t="shared" si="8"/>
        <v>-9.0770385270480272E-2</v>
      </c>
      <c r="K25" s="107">
        <v>-250</v>
      </c>
      <c r="L25" s="102">
        <f t="shared" si="9"/>
        <v>9.339195857879852E-3</v>
      </c>
      <c r="M25" s="78">
        <f t="shared" si="10"/>
        <v>42</v>
      </c>
      <c r="N25" s="77">
        <f t="shared" si="11"/>
        <v>-0.14383561643835616</v>
      </c>
      <c r="S25" t="s">
        <v>105</v>
      </c>
      <c r="T25" s="105">
        <v>267.5</v>
      </c>
      <c r="U25" s="105">
        <v>267</v>
      </c>
    </row>
    <row r="26" spans="1:23">
      <c r="A26" s="101" t="s">
        <v>14</v>
      </c>
      <c r="B26" s="75">
        <v>-26.657</v>
      </c>
      <c r="C26" s="102">
        <f t="shared" si="4"/>
        <v>1.0486548799174703E-3</v>
      </c>
      <c r="D26" s="75">
        <v>-46.847999999999999</v>
      </c>
      <c r="E26" s="103">
        <f t="shared" si="5"/>
        <v>1.7529274764422305E-3</v>
      </c>
      <c r="F26" s="76"/>
      <c r="G26" s="75">
        <v>-35.6</v>
      </c>
      <c r="H26" s="102">
        <f t="shared" si="6"/>
        <v>1.5783220131585947E-3</v>
      </c>
      <c r="I26" s="78">
        <f t="shared" si="7"/>
        <v>11.247999999999998</v>
      </c>
      <c r="J26" s="77">
        <f t="shared" si="8"/>
        <v>-0.24009562841530049</v>
      </c>
      <c r="K26" s="107">
        <v>-48</v>
      </c>
      <c r="L26" s="102">
        <f t="shared" si="9"/>
        <v>1.7931256047129317E-3</v>
      </c>
      <c r="M26" s="78">
        <f t="shared" si="10"/>
        <v>-12.399999999999999</v>
      </c>
      <c r="N26" s="77">
        <f t="shared" si="11"/>
        <v>0.348314606741573</v>
      </c>
      <c r="T26" s="105"/>
      <c r="U26" s="105"/>
    </row>
    <row r="27" spans="1:23">
      <c r="A27" s="101" t="s">
        <v>15</v>
      </c>
      <c r="B27" s="75">
        <v>-353.03500000000003</v>
      </c>
      <c r="C27" s="102">
        <f t="shared" si="4"/>
        <v>1.388797972508775E-2</v>
      </c>
      <c r="D27" s="75">
        <v>-410.41</v>
      </c>
      <c r="E27" s="103">
        <f t="shared" si="5"/>
        <v>1.5356449914759561E-2</v>
      </c>
      <c r="F27" s="76"/>
      <c r="G27" s="75">
        <v>-381.1</v>
      </c>
      <c r="H27" s="102">
        <f t="shared" si="6"/>
        <v>1.6896025820638778E-2</v>
      </c>
      <c r="I27" s="78">
        <f t="shared" si="7"/>
        <v>29.310000000000002</v>
      </c>
      <c r="J27" s="77">
        <f t="shared" si="8"/>
        <v>-7.1416388489559224E-2</v>
      </c>
      <c r="K27" s="107">
        <f>-60-360</f>
        <v>-420</v>
      </c>
      <c r="L27" s="102">
        <f t="shared" si="9"/>
        <v>1.5689849041238154E-2</v>
      </c>
      <c r="M27" s="78">
        <f t="shared" si="10"/>
        <v>-38.899999999999977</v>
      </c>
      <c r="N27" s="77">
        <f t="shared" si="11"/>
        <v>0.10207294673314084</v>
      </c>
    </row>
    <row r="28" spans="1:23">
      <c r="A28" s="101" t="s">
        <v>16</v>
      </c>
      <c r="B28" s="75">
        <v>-3642.6280000000002</v>
      </c>
      <c r="C28" s="102">
        <f t="shared" si="4"/>
        <v>0.14329668109404717</v>
      </c>
      <c r="D28" s="75">
        <v>-4218.152</v>
      </c>
      <c r="E28" s="103">
        <f t="shared" si="5"/>
        <v>0.15783202144402639</v>
      </c>
      <c r="F28" s="76"/>
      <c r="G28" s="75">
        <v>-5424.5</v>
      </c>
      <c r="H28" s="102">
        <f t="shared" si="6"/>
        <v>0.24049460001064035</v>
      </c>
      <c r="I28" s="78">
        <f t="shared" si="7"/>
        <v>-1206.348</v>
      </c>
      <c r="J28" s="77">
        <f t="shared" si="8"/>
        <v>0.28598969406507874</v>
      </c>
      <c r="K28" s="75">
        <f>T33</f>
        <v>-5761.0344827586205</v>
      </c>
      <c r="L28" s="102">
        <f t="shared" si="9"/>
        <v>0.21521371751392923</v>
      </c>
      <c r="M28" s="78">
        <f t="shared" si="10"/>
        <v>-336.53448275862047</v>
      </c>
      <c r="N28" s="77">
        <f t="shared" si="11"/>
        <v>6.2039723985366481E-2</v>
      </c>
      <c r="S28" s="90" t="s">
        <v>106</v>
      </c>
    </row>
    <row r="29" spans="1:23">
      <c r="A29" s="101" t="s">
        <v>17</v>
      </c>
      <c r="B29" s="75">
        <v>-1731.2539999999999</v>
      </c>
      <c r="C29" s="102">
        <f t="shared" si="4"/>
        <v>6.8105486569255358E-2</v>
      </c>
      <c r="D29" s="75">
        <v>-1942.749</v>
      </c>
      <c r="E29" s="103">
        <f t="shared" si="5"/>
        <v>7.2692497052823324E-2</v>
      </c>
      <c r="F29" s="76"/>
      <c r="G29" s="75">
        <v>-2512.3000000000002</v>
      </c>
      <c r="H29" s="102">
        <f t="shared" si="6"/>
        <v>0.11138253914770611</v>
      </c>
      <c r="I29" s="78">
        <f t="shared" si="7"/>
        <v>-569.55100000000016</v>
      </c>
      <c r="J29" s="77">
        <f t="shared" si="8"/>
        <v>0.29316756822420198</v>
      </c>
      <c r="K29" s="75">
        <f>T34</f>
        <v>-2592.4655172413795</v>
      </c>
      <c r="L29" s="102">
        <f t="shared" si="9"/>
        <v>9.6846172881268164E-2</v>
      </c>
      <c r="M29" s="78">
        <f t="shared" si="10"/>
        <v>-80.165517241379348</v>
      </c>
      <c r="N29" s="77">
        <f t="shared" si="11"/>
        <v>3.1909213565807962E-2</v>
      </c>
      <c r="S29" t="s">
        <v>107</v>
      </c>
      <c r="T29" s="105">
        <f>-8320-150</f>
        <v>-8470</v>
      </c>
    </row>
    <row r="30" spans="1:23">
      <c r="A30" s="101"/>
      <c r="B30" s="75"/>
      <c r="C30" s="116"/>
      <c r="D30" s="75"/>
      <c r="E30" s="117"/>
      <c r="F30" s="76"/>
      <c r="G30" s="75"/>
      <c r="H30" s="116"/>
      <c r="I30" s="116"/>
      <c r="J30" s="77"/>
      <c r="K30" s="75"/>
      <c r="L30" s="116"/>
      <c r="M30" s="116"/>
      <c r="N30" s="77"/>
      <c r="S30" t="s">
        <v>108</v>
      </c>
      <c r="T30" s="105">
        <f>533/2</f>
        <v>266.5</v>
      </c>
    </row>
    <row r="31" spans="1:23">
      <c r="A31" s="92" t="s">
        <v>18</v>
      </c>
      <c r="B31" s="93">
        <f>SUM(B10:B29)</f>
        <v>-24372.778999999999</v>
      </c>
      <c r="C31" s="94">
        <f>SUM(C10:C30)</f>
        <v>0.95879632499906364</v>
      </c>
      <c r="D31" s="93">
        <f>SUM(D10:D29)</f>
        <v>-25362.563000000006</v>
      </c>
      <c r="E31" s="95">
        <f>SUM(E10:E30)</f>
        <v>0.94899960629476365</v>
      </c>
      <c r="F31" s="85"/>
      <c r="G31" s="93">
        <f>SUM(G10:G29)</f>
        <v>-25150.895999999997</v>
      </c>
      <c r="H31" s="94">
        <f>SUM(H10:H30)</f>
        <v>1.11506215751299</v>
      </c>
      <c r="I31" s="96">
        <f>SUM(I10:I29)</f>
        <v>211.6670000000006</v>
      </c>
      <c r="J31" s="95">
        <f>(G31-D31)/D31</f>
        <v>-8.3456470862194997E-3</v>
      </c>
      <c r="K31" s="93">
        <f>SUM(K10:K29)</f>
        <v>-24626.938710000002</v>
      </c>
      <c r="L31" s="94">
        <f>SUM(L10:L30)</f>
        <v>0.91998321597077215</v>
      </c>
      <c r="M31" s="96">
        <f>SUM(M10:M29)</f>
        <v>523.95729000000074</v>
      </c>
      <c r="N31" s="95">
        <f>(K31-G31)/G31</f>
        <v>-2.0832549663439223E-2</v>
      </c>
      <c r="S31" t="s">
        <v>109</v>
      </c>
      <c r="T31" s="105">
        <v>-150</v>
      </c>
    </row>
    <row r="32" spans="1:23" ht="15" thickBot="1">
      <c r="A32" s="101"/>
      <c r="B32" s="118"/>
      <c r="C32" s="116"/>
      <c r="D32" s="118"/>
      <c r="E32" s="117"/>
      <c r="F32" s="116"/>
      <c r="G32" s="118"/>
      <c r="H32" s="116"/>
      <c r="I32" s="116"/>
      <c r="J32" s="117"/>
      <c r="K32" s="118"/>
      <c r="L32" s="116"/>
      <c r="M32" s="116"/>
      <c r="N32" s="117"/>
      <c r="T32" s="119">
        <f>SUM(T29:T31)</f>
        <v>-8353.5</v>
      </c>
    </row>
    <row r="33" spans="1:20" ht="15" thickTop="1">
      <c r="A33" s="120" t="s">
        <v>19</v>
      </c>
      <c r="B33" s="121">
        <f>+B8+B31</f>
        <v>1047.4050000000025</v>
      </c>
      <c r="C33" s="122">
        <f>B33/B8</f>
        <v>4.1203675000936357E-2</v>
      </c>
      <c r="D33" s="121">
        <f>+D8+D31</f>
        <v>1363.0149999999958</v>
      </c>
      <c r="E33" s="123">
        <f>D33/D8</f>
        <v>5.1000393705236076E-2</v>
      </c>
      <c r="F33" s="85"/>
      <c r="G33" s="121">
        <f>+G8+G31</f>
        <v>-2595.2959999999948</v>
      </c>
      <c r="H33" s="122" t="s">
        <v>110</v>
      </c>
      <c r="I33" s="124">
        <f>G33-D33</f>
        <v>-3958.3109999999906</v>
      </c>
      <c r="J33" s="123" t="s">
        <v>110</v>
      </c>
      <c r="K33" s="121">
        <f>+K8+K31</f>
        <v>2141.9612899999993</v>
      </c>
      <c r="L33" s="122">
        <f>K33/K8</f>
        <v>8.0016784029227919E-2</v>
      </c>
      <c r="M33" s="124">
        <f>K33-G33</f>
        <v>4737.2572899999941</v>
      </c>
      <c r="N33" s="122" t="s">
        <v>110</v>
      </c>
      <c r="S33" t="s">
        <v>111</v>
      </c>
      <c r="T33" s="115">
        <f>T32/1.45</f>
        <v>-5761.0344827586205</v>
      </c>
    </row>
    <row r="34" spans="1:20">
      <c r="A34" s="99"/>
      <c r="B34" s="118"/>
      <c r="C34" s="116"/>
      <c r="D34" s="118"/>
      <c r="E34" s="117"/>
      <c r="F34" s="116"/>
      <c r="G34" s="125"/>
      <c r="H34" s="116"/>
      <c r="I34" s="116"/>
      <c r="J34" s="117"/>
      <c r="K34" s="118"/>
      <c r="L34" s="116"/>
      <c r="M34" s="116"/>
      <c r="N34" s="117"/>
      <c r="S34" t="s">
        <v>17</v>
      </c>
      <c r="T34" s="115">
        <f>T32-T33</f>
        <v>-2592.4655172413795</v>
      </c>
    </row>
    <row r="35" spans="1:20">
      <c r="A35" s="74" t="s">
        <v>21</v>
      </c>
      <c r="B35" s="75">
        <f>96.067-2.637</f>
        <v>93.429999999999993</v>
      </c>
      <c r="C35" s="102">
        <f>-B35/$B$8</f>
        <v>-3.6754257955017157E-3</v>
      </c>
      <c r="D35" s="75">
        <f>87.019-131.788</f>
        <v>-44.769000000000005</v>
      </c>
      <c r="E35" s="103">
        <f>-D35/$D$8</f>
        <v>1.6751368295944808E-3</v>
      </c>
      <c r="F35" s="116"/>
      <c r="G35" s="126">
        <v>0</v>
      </c>
      <c r="H35" s="111">
        <f>-G35/$G$8</f>
        <v>0</v>
      </c>
      <c r="I35" s="78">
        <f>G35-D35</f>
        <v>44.769000000000005</v>
      </c>
      <c r="J35" s="77">
        <f>(G35-D35)/D35</f>
        <v>-1</v>
      </c>
      <c r="K35" s="106">
        <v>0</v>
      </c>
      <c r="L35" s="111">
        <f>-K35/$G$8</f>
        <v>0</v>
      </c>
      <c r="M35" s="111">
        <f>K35-G35</f>
        <v>0</v>
      </c>
      <c r="N35" s="77" t="s">
        <v>110</v>
      </c>
      <c r="T35" s="127">
        <f>7937+T34+T33</f>
        <v>-416.5</v>
      </c>
    </row>
    <row r="36" spans="1:20">
      <c r="A36" s="74" t="s">
        <v>68</v>
      </c>
      <c r="B36" s="75">
        <f>162.055-112.445-97.432</f>
        <v>-47.821999999999989</v>
      </c>
      <c r="C36" s="102">
        <f>-B36/$B$8</f>
        <v>1.8812609696294876E-3</v>
      </c>
      <c r="D36" s="75">
        <f>280.177-66.904-932.089</f>
        <v>-718.81600000000003</v>
      </c>
      <c r="E36" s="103" t="s">
        <v>110</v>
      </c>
      <c r="F36" s="116"/>
      <c r="G36" s="125">
        <f>1893</f>
        <v>1893</v>
      </c>
      <c r="H36" s="102">
        <f>-G36/$G$8</f>
        <v>-8.3925943003067965E-2</v>
      </c>
      <c r="I36" s="78">
        <f>G36-D36</f>
        <v>2611.8159999999998</v>
      </c>
      <c r="J36" s="77">
        <f>(G36-D36)/D36</f>
        <v>-3.633497306682099</v>
      </c>
      <c r="K36" s="75">
        <v>-110</v>
      </c>
      <c r="L36" s="102">
        <f>-K36/$G$8</f>
        <v>4.8768376811080174E-3</v>
      </c>
      <c r="M36" s="78">
        <f>K36-G36</f>
        <v>-2003</v>
      </c>
      <c r="N36" s="77" t="s">
        <v>110</v>
      </c>
    </row>
    <row r="37" spans="1:20">
      <c r="A37" s="99"/>
      <c r="B37" s="118"/>
      <c r="C37" s="116"/>
      <c r="D37" s="118"/>
      <c r="E37" s="117"/>
      <c r="F37" s="116"/>
      <c r="G37" s="118"/>
      <c r="H37" s="116"/>
      <c r="I37" s="116"/>
      <c r="J37" s="117"/>
      <c r="K37" s="118"/>
      <c r="L37" s="116"/>
      <c r="M37" s="116"/>
      <c r="N37" s="117"/>
    </row>
    <row r="38" spans="1:20">
      <c r="A38" s="120" t="s">
        <v>112</v>
      </c>
      <c r="B38" s="121">
        <f>SUM(B33:B36)</f>
        <v>1093.0130000000026</v>
      </c>
      <c r="C38" s="122">
        <f>B38/B8</f>
        <v>4.2997839826808597E-2</v>
      </c>
      <c r="D38" s="121">
        <f>SUM(D33:D36)</f>
        <v>599.42999999999574</v>
      </c>
      <c r="E38" s="123">
        <f>D38/$D$8</f>
        <v>2.2429075247689525E-2</v>
      </c>
      <c r="F38" s="85"/>
      <c r="G38" s="121">
        <f>SUM(G33:G36)</f>
        <v>-702.29599999999482</v>
      </c>
      <c r="H38" s="122" t="s">
        <v>110</v>
      </c>
      <c r="I38" s="124">
        <f>G38-D38</f>
        <v>-1301.7259999999906</v>
      </c>
      <c r="J38" s="123" t="s">
        <v>110</v>
      </c>
      <c r="K38" s="121">
        <f>SUM(K33:K36)</f>
        <v>2031.9612899999993</v>
      </c>
      <c r="L38" s="122">
        <f>K38/K8</f>
        <v>7.5907537851760784E-2</v>
      </c>
      <c r="M38" s="124">
        <f>K38-G38</f>
        <v>2734.2572899999941</v>
      </c>
      <c r="N38" s="122" t="s">
        <v>110</v>
      </c>
    </row>
    <row r="39" spans="1:20">
      <c r="A39" s="128" t="s">
        <v>113</v>
      </c>
      <c r="B39" s="129"/>
      <c r="C39" s="130"/>
      <c r="D39" s="129"/>
      <c r="E39" s="130"/>
      <c r="F39" s="130"/>
      <c r="G39" s="129"/>
      <c r="H39" s="130"/>
      <c r="I39" s="130"/>
      <c r="J39" s="130"/>
      <c r="K39" s="129"/>
      <c r="L39" s="116"/>
      <c r="M39" s="116"/>
      <c r="N39" s="130"/>
    </row>
    <row r="40" spans="1:20">
      <c r="A40" s="99" t="s">
        <v>25</v>
      </c>
      <c r="B40" s="75">
        <f>43.577-32.01</f>
        <v>11.567</v>
      </c>
      <c r="C40" s="102">
        <f>-B40/$B$8</f>
        <v>-4.5503211149061705E-4</v>
      </c>
      <c r="D40" s="75">
        <f>118.845-27.9</f>
        <v>90.944999999999993</v>
      </c>
      <c r="E40" s="103">
        <f>-D40/$D$8</f>
        <v>-3.4029198545303674E-3</v>
      </c>
      <c r="F40" s="116"/>
      <c r="G40" s="118"/>
      <c r="H40" s="116"/>
      <c r="I40" s="116"/>
      <c r="J40" s="117"/>
      <c r="K40" s="118"/>
      <c r="L40" s="116"/>
      <c r="M40" s="116"/>
      <c r="N40" s="117"/>
    </row>
    <row r="41" spans="1:20">
      <c r="A41" s="99"/>
      <c r="B41" s="118"/>
      <c r="C41" s="116"/>
      <c r="D41" s="118"/>
      <c r="E41" s="117"/>
      <c r="F41" s="116"/>
      <c r="G41" s="118"/>
      <c r="H41" s="116"/>
      <c r="I41" s="116"/>
      <c r="J41" s="117"/>
      <c r="K41" s="118"/>
      <c r="L41" s="116"/>
      <c r="M41" s="116"/>
      <c r="N41" s="117"/>
    </row>
    <row r="42" spans="1:20">
      <c r="A42" s="120" t="s">
        <v>114</v>
      </c>
      <c r="B42" s="121">
        <f>SUM(B38:B41)</f>
        <v>1104.5800000000027</v>
      </c>
      <c r="C42" s="122">
        <f>B42/B8</f>
        <v>4.3452871938299213E-2</v>
      </c>
      <c r="D42" s="121">
        <f>SUM(D38:D41)</f>
        <v>690.37499999999568</v>
      </c>
      <c r="E42" s="123">
        <f>D42/$D$8</f>
        <v>2.5831995102219889E-2</v>
      </c>
      <c r="F42" s="85"/>
      <c r="G42" s="121"/>
      <c r="H42" s="122"/>
      <c r="I42" s="124"/>
      <c r="J42" s="123"/>
      <c r="K42" s="121"/>
      <c r="L42" s="122"/>
      <c r="M42" s="124"/>
      <c r="N42" s="123"/>
    </row>
    <row r="43" spans="1:20">
      <c r="A43" s="99"/>
      <c r="B43" s="118"/>
      <c r="C43" s="116"/>
      <c r="D43" s="118"/>
      <c r="E43" s="117"/>
      <c r="F43" s="116"/>
      <c r="G43" s="118"/>
      <c r="H43" s="116"/>
      <c r="I43" s="116"/>
      <c r="J43" s="117"/>
      <c r="K43" s="118"/>
      <c r="L43" s="116"/>
      <c r="M43" s="116"/>
      <c r="N43" s="117"/>
    </row>
    <row r="44" spans="1:20">
      <c r="A44" s="120" t="s">
        <v>115</v>
      </c>
      <c r="B44" s="121">
        <v>-40.738</v>
      </c>
      <c r="C44" s="122">
        <f>B44/$B$8</f>
        <v>-1.6025847806609109E-3</v>
      </c>
      <c r="D44" s="121">
        <v>259.024</v>
      </c>
      <c r="E44" s="123">
        <f>D44/$D$8</f>
        <v>9.6919887008617735E-3</v>
      </c>
      <c r="F44" s="85"/>
      <c r="G44" s="121"/>
      <c r="H44" s="122"/>
      <c r="I44" s="124"/>
      <c r="J44" s="123"/>
      <c r="K44" s="121"/>
      <c r="L44" s="122"/>
      <c r="M44" s="124"/>
      <c r="N44" s="123"/>
    </row>
    <row r="45" spans="1:20">
      <c r="A45" s="99"/>
      <c r="B45" s="118"/>
      <c r="C45" s="116"/>
      <c r="D45" s="118"/>
      <c r="E45" s="117"/>
      <c r="F45" s="116"/>
      <c r="G45" s="118"/>
      <c r="H45" s="116"/>
      <c r="I45" s="116"/>
      <c r="J45" s="117"/>
      <c r="K45" s="118"/>
      <c r="L45" s="116"/>
      <c r="M45" s="116"/>
      <c r="N45" s="117"/>
    </row>
    <row r="46" spans="1:20">
      <c r="A46" s="99" t="s">
        <v>116</v>
      </c>
      <c r="B46" s="75">
        <v>689.976</v>
      </c>
      <c r="C46" s="102">
        <f>-B46/$B$8</f>
        <v>-2.7142840508156824E-2</v>
      </c>
      <c r="D46" s="75">
        <v>-282.49700000000001</v>
      </c>
      <c r="E46" s="103">
        <f>-D46/$D$8</f>
        <v>1.0570285888671893E-2</v>
      </c>
      <c r="F46" s="116"/>
      <c r="G46" s="114"/>
      <c r="H46" s="116"/>
      <c r="I46" s="116"/>
      <c r="J46" s="117"/>
      <c r="K46" s="118"/>
      <c r="L46" s="116"/>
      <c r="M46" s="116"/>
      <c r="N46" s="117"/>
    </row>
    <row r="47" spans="1:20">
      <c r="A47" s="99" t="s">
        <v>30</v>
      </c>
      <c r="B47" s="75">
        <v>-164.626</v>
      </c>
      <c r="C47" s="102">
        <f>-B47/$B$8</f>
        <v>6.476192304508889E-3</v>
      </c>
      <c r="D47" s="75">
        <v>-120.1</v>
      </c>
      <c r="E47" s="103">
        <f>-D47/$D$8</f>
        <v>4.4938223599878735E-3</v>
      </c>
      <c r="F47" s="85"/>
      <c r="G47" s="131"/>
      <c r="H47" s="85"/>
      <c r="I47" s="85"/>
      <c r="J47" s="132"/>
      <c r="K47" s="84"/>
      <c r="L47" s="85"/>
      <c r="M47" s="85"/>
      <c r="N47" s="132"/>
    </row>
    <row r="48" spans="1:20">
      <c r="A48" s="99"/>
      <c r="B48" s="118"/>
      <c r="C48" s="116"/>
      <c r="D48" s="118"/>
      <c r="E48" s="117"/>
      <c r="F48" s="116"/>
      <c r="G48" s="118"/>
      <c r="H48" s="116"/>
      <c r="I48" s="116"/>
      <c r="J48" s="117"/>
      <c r="K48" s="118"/>
      <c r="L48" s="116"/>
      <c r="M48" s="116"/>
      <c r="N48" s="117"/>
    </row>
    <row r="49" spans="1:14">
      <c r="A49" s="133" t="s">
        <v>117</v>
      </c>
      <c r="B49" s="134">
        <f>+B42+SUM(B44:B47)</f>
        <v>1589.1920000000027</v>
      </c>
      <c r="C49" s="135">
        <f>B49/$B$8</f>
        <v>6.2516935361286233E-2</v>
      </c>
      <c r="D49" s="134">
        <f>+D42+SUM(D44:D47)</f>
        <v>546.8019999999957</v>
      </c>
      <c r="E49" s="136">
        <f>D49/$D$8</f>
        <v>2.0459875554421896E-2</v>
      </c>
      <c r="F49" s="85"/>
      <c r="G49" s="134"/>
      <c r="H49" s="135"/>
      <c r="I49" s="137"/>
      <c r="J49" s="136"/>
      <c r="K49" s="134"/>
      <c r="L49" s="135"/>
      <c r="M49" s="137"/>
      <c r="N49" s="136"/>
    </row>
    <row r="50" spans="1:14">
      <c r="A50" s="90"/>
      <c r="B50" s="97"/>
      <c r="C50" s="116"/>
      <c r="D50" s="97"/>
      <c r="E50" s="116"/>
      <c r="F50" s="116"/>
      <c r="G50" s="97"/>
      <c r="H50" s="116"/>
      <c r="I50" s="116"/>
      <c r="J50" s="116"/>
      <c r="K50" s="97"/>
      <c r="L50" s="116"/>
      <c r="M50" s="116"/>
      <c r="N50" s="116"/>
    </row>
    <row r="51" spans="1:14">
      <c r="A51" s="90"/>
      <c r="B51" s="97"/>
      <c r="C51" s="116"/>
      <c r="D51" s="97"/>
      <c r="E51" s="116"/>
      <c r="F51" s="116"/>
      <c r="G51" s="97"/>
      <c r="H51" s="116"/>
      <c r="I51" s="116"/>
      <c r="J51" s="116"/>
      <c r="K51" s="97"/>
      <c r="L51" s="116"/>
      <c r="M51" s="116"/>
      <c r="N51" s="116"/>
    </row>
    <row r="52" spans="1:14">
      <c r="A52" s="90"/>
      <c r="B52" s="97"/>
      <c r="C52" s="116"/>
      <c r="D52" s="97"/>
      <c r="E52" s="116"/>
      <c r="F52" s="116"/>
      <c r="G52" s="97"/>
      <c r="H52" s="116"/>
      <c r="I52" s="116"/>
      <c r="J52" s="116"/>
      <c r="K52" s="97"/>
      <c r="L52" s="116"/>
      <c r="M52" s="116"/>
      <c r="N52" s="116"/>
    </row>
    <row r="53" spans="1:14">
      <c r="A53" s="90"/>
      <c r="B53" s="97"/>
      <c r="C53" s="116"/>
      <c r="D53" s="97"/>
      <c r="E53" s="116"/>
      <c r="F53" s="116"/>
      <c r="G53" s="97"/>
      <c r="H53" s="116"/>
      <c r="I53" s="116"/>
      <c r="J53" s="116"/>
      <c r="K53" s="97"/>
      <c r="L53" s="116"/>
      <c r="M53" s="116"/>
      <c r="N53" s="116"/>
    </row>
    <row r="54" spans="1:14">
      <c r="A54" s="90"/>
      <c r="B54" s="97"/>
      <c r="C54" s="116"/>
      <c r="D54" s="97"/>
      <c r="E54" s="116"/>
      <c r="F54" s="116"/>
      <c r="G54" s="97"/>
      <c r="H54" s="116"/>
      <c r="I54" s="116"/>
      <c r="J54" s="116"/>
      <c r="K54" s="97"/>
      <c r="L54" s="116"/>
      <c r="M54" s="116"/>
      <c r="N54" s="116"/>
    </row>
    <row r="55" spans="1:14">
      <c r="A55" s="90"/>
      <c r="B55" s="97"/>
      <c r="C55" s="116"/>
      <c r="D55" s="97"/>
      <c r="E55" s="116"/>
      <c r="F55" s="116"/>
      <c r="G55" s="97"/>
      <c r="H55" s="116"/>
      <c r="I55" s="116"/>
      <c r="J55" s="116"/>
      <c r="K55" s="97"/>
      <c r="L55" s="116"/>
      <c r="M55" s="116"/>
      <c r="N55" s="116"/>
    </row>
    <row r="56" spans="1:14">
      <c r="A56" s="90"/>
      <c r="B56" s="97"/>
      <c r="C56" s="116"/>
      <c r="D56" s="97"/>
      <c r="E56" s="116"/>
      <c r="F56" s="116"/>
      <c r="G56" s="97"/>
      <c r="H56" s="116"/>
      <c r="I56" s="116"/>
      <c r="J56" s="116"/>
      <c r="K56" s="97"/>
      <c r="L56" s="116"/>
      <c r="M56" s="116"/>
      <c r="N56" s="116"/>
    </row>
    <row r="57" spans="1:14">
      <c r="A57" s="138"/>
      <c r="B57" s="97"/>
      <c r="C57" s="117"/>
      <c r="D57" s="118"/>
      <c r="E57" s="117"/>
      <c r="F57" s="116"/>
      <c r="G57" s="118"/>
      <c r="H57" s="116"/>
      <c r="I57" s="116"/>
      <c r="J57" s="117"/>
      <c r="K57" s="118"/>
      <c r="L57" s="116"/>
      <c r="M57" s="116"/>
      <c r="N57" s="117"/>
    </row>
    <row r="58" spans="1:14">
      <c r="A58" s="138"/>
      <c r="B58" s="97"/>
      <c r="C58" s="117"/>
      <c r="D58" s="118"/>
      <c r="E58" s="117"/>
      <c r="F58" s="116"/>
      <c r="G58" s="118"/>
      <c r="H58" s="116"/>
      <c r="I58" s="116"/>
      <c r="J58" s="117"/>
      <c r="K58" s="118"/>
      <c r="L58" s="116"/>
      <c r="M58" s="116"/>
      <c r="N58" s="117"/>
    </row>
    <row r="59" spans="1:14">
      <c r="A59" s="138"/>
      <c r="B59" s="97"/>
      <c r="C59" s="117"/>
      <c r="D59" s="118"/>
      <c r="E59" s="117"/>
      <c r="F59" s="116"/>
      <c r="G59" s="118"/>
      <c r="H59" s="116"/>
      <c r="I59" s="116"/>
      <c r="J59" s="117"/>
      <c r="K59" s="118"/>
      <c r="L59" s="116"/>
      <c r="M59" s="116"/>
      <c r="N59" s="117"/>
    </row>
    <row r="60" spans="1:14">
      <c r="A60" s="139" t="s">
        <v>118</v>
      </c>
      <c r="B60" s="140"/>
      <c r="C60" s="95"/>
      <c r="D60" s="93"/>
      <c r="E60" s="95"/>
      <c r="F60" s="85"/>
      <c r="G60" s="93"/>
      <c r="H60" s="94"/>
      <c r="I60" s="94"/>
      <c r="J60" s="95"/>
      <c r="K60" s="93"/>
      <c r="L60" s="94"/>
      <c r="M60" s="94"/>
      <c r="N60" s="95"/>
    </row>
    <row r="61" spans="1:14">
      <c r="A61" s="138" t="s">
        <v>119</v>
      </c>
      <c r="B61" s="141"/>
      <c r="C61" s="132"/>
      <c r="D61" s="84"/>
      <c r="E61" s="132"/>
      <c r="F61" s="85"/>
      <c r="G61" s="84"/>
      <c r="H61" s="85"/>
      <c r="I61" s="85"/>
      <c r="J61" s="132"/>
      <c r="K61" s="84"/>
      <c r="L61" s="85"/>
      <c r="M61" s="85"/>
      <c r="N61" s="132"/>
    </row>
    <row r="62" spans="1:14">
      <c r="A62" s="138" t="s">
        <v>250</v>
      </c>
      <c r="B62" s="141"/>
      <c r="C62" s="132"/>
      <c r="D62" s="84"/>
      <c r="E62" s="132"/>
      <c r="F62" s="85"/>
      <c r="G62" s="84"/>
      <c r="H62" s="85"/>
      <c r="I62" s="85"/>
      <c r="J62" s="132"/>
      <c r="K62" s="84"/>
      <c r="L62" s="85"/>
      <c r="M62" s="85"/>
      <c r="N62" s="132"/>
    </row>
    <row r="63" spans="1:14">
      <c r="A63" s="138" t="s">
        <v>120</v>
      </c>
      <c r="B63" s="141"/>
      <c r="C63" s="132"/>
      <c r="D63" s="84"/>
      <c r="E63" s="132"/>
      <c r="F63" s="85"/>
      <c r="G63" s="84"/>
      <c r="H63" s="85"/>
      <c r="I63" s="85"/>
      <c r="J63" s="132"/>
      <c r="K63" s="84"/>
      <c r="L63" s="85"/>
      <c r="M63" s="85"/>
      <c r="N63" s="132"/>
    </row>
    <row r="64" spans="1:14">
      <c r="A64" s="138" t="s">
        <v>121</v>
      </c>
      <c r="B64" s="141"/>
      <c r="C64" s="132"/>
      <c r="D64" s="84"/>
      <c r="E64" s="132"/>
      <c r="F64" s="85"/>
      <c r="G64" s="84"/>
      <c r="H64" s="85"/>
      <c r="I64" s="85"/>
      <c r="J64" s="132"/>
      <c r="K64" s="84"/>
      <c r="L64" s="85"/>
      <c r="M64" s="85"/>
      <c r="N64" s="132"/>
    </row>
    <row r="65" spans="1:17">
      <c r="A65" s="138" t="s">
        <v>122</v>
      </c>
      <c r="B65" s="141"/>
      <c r="C65" s="132"/>
      <c r="D65" s="84"/>
      <c r="E65" s="132"/>
      <c r="F65" s="85"/>
      <c r="G65" s="84"/>
      <c r="H65" s="85"/>
      <c r="I65" s="85"/>
      <c r="J65" s="132"/>
      <c r="K65" s="84"/>
      <c r="L65" s="85"/>
      <c r="M65" s="85"/>
      <c r="N65" s="132"/>
    </row>
    <row r="66" spans="1:17" s="142" customFormat="1">
      <c r="A66" s="138" t="s">
        <v>251</v>
      </c>
      <c r="B66" s="141"/>
      <c r="C66" s="132"/>
      <c r="D66" s="84"/>
      <c r="E66" s="132"/>
      <c r="F66" s="85"/>
      <c r="G66" s="84"/>
      <c r="H66" s="85"/>
      <c r="I66" s="85"/>
      <c r="J66" s="132"/>
      <c r="K66" s="84"/>
      <c r="L66" s="85"/>
      <c r="M66" s="85"/>
      <c r="N66" s="132"/>
      <c r="O66" s="97"/>
      <c r="P66" s="116"/>
      <c r="Q66" s="116"/>
    </row>
    <row r="67" spans="1:17" s="142" customFormat="1">
      <c r="A67" s="138" t="s">
        <v>109</v>
      </c>
      <c r="B67" s="141"/>
      <c r="C67" s="132"/>
      <c r="D67" s="84"/>
      <c r="E67" s="132"/>
      <c r="F67" s="85"/>
      <c r="G67" s="84"/>
      <c r="H67" s="85"/>
      <c r="I67" s="85"/>
      <c r="J67" s="132"/>
      <c r="K67" s="84"/>
      <c r="L67" s="85"/>
      <c r="M67" s="85"/>
      <c r="N67" s="132"/>
      <c r="O67" s="97"/>
      <c r="P67" s="116"/>
      <c r="Q67" s="116"/>
    </row>
    <row r="68" spans="1:17" s="142" customFormat="1">
      <c r="A68" s="139"/>
      <c r="B68" s="140"/>
      <c r="C68" s="95"/>
      <c r="D68" s="93"/>
      <c r="E68" s="95"/>
      <c r="F68" s="85"/>
      <c r="G68" s="93"/>
      <c r="H68" s="94"/>
      <c r="I68" s="94"/>
      <c r="J68" s="95"/>
      <c r="K68" s="93"/>
      <c r="L68" s="94"/>
      <c r="M68" s="94"/>
      <c r="N68" s="95"/>
      <c r="O68" s="97"/>
      <c r="P68" s="116"/>
      <c r="Q68" s="116"/>
    </row>
    <row r="69" spans="1:17" s="142" customFormat="1">
      <c r="A69" s="143" t="s">
        <v>123</v>
      </c>
      <c r="B69" s="144">
        <f>SUM(B33:B67)</f>
        <v>5375.9770000000108</v>
      </c>
      <c r="C69" s="136">
        <f>B69/B8</f>
        <v>0.21148458248768029</v>
      </c>
      <c r="D69" s="134">
        <f>SUM(D33:D67)</f>
        <v>2383.4089999999828</v>
      </c>
      <c r="E69" s="136">
        <f>D69/D8</f>
        <v>8.9180821458753209E-2</v>
      </c>
      <c r="F69" s="145"/>
      <c r="G69" s="134">
        <f>SUM(G33:G67)</f>
        <v>-1404.5919999999896</v>
      </c>
      <c r="H69" s="135" t="s">
        <v>110</v>
      </c>
      <c r="I69" s="137">
        <f>G69-D69</f>
        <v>-3788.0009999999725</v>
      </c>
      <c r="J69" s="136">
        <f>(G69-D69)/D69</f>
        <v>-1.5893205908008234</v>
      </c>
      <c r="K69" s="134">
        <f>SUM(K33:K67)</f>
        <v>4063.9225799999986</v>
      </c>
      <c r="L69" s="135">
        <f>K69/K8</f>
        <v>0.15181507570352157</v>
      </c>
      <c r="M69" s="137">
        <f>K69-G69</f>
        <v>5468.5145799999882</v>
      </c>
      <c r="N69" s="136">
        <f>-(K69-G69)/G69</f>
        <v>3.8933117802180481</v>
      </c>
      <c r="O69" s="97"/>
      <c r="P69" s="116"/>
      <c r="Q69" s="116"/>
    </row>
    <row r="70" spans="1:17" s="142" customFormat="1">
      <c r="A70"/>
      <c r="B70" s="105"/>
      <c r="C70" s="1"/>
      <c r="D70"/>
      <c r="E70"/>
      <c r="F70" s="88"/>
      <c r="G70"/>
      <c r="H70" s="105"/>
      <c r="I70" s="105"/>
      <c r="J70" s="1"/>
      <c r="K70" s="1"/>
      <c r="L70" s="105"/>
      <c r="M70" s="105"/>
      <c r="N70" s="1"/>
      <c r="O70" s="97"/>
      <c r="P70" s="116"/>
      <c r="Q70" s="116"/>
    </row>
    <row r="71" spans="1:17" s="89" customFormat="1" ht="6" customHeight="1">
      <c r="A71"/>
      <c r="B71" s="105"/>
      <c r="C71" s="1"/>
      <c r="D71"/>
      <c r="E71"/>
      <c r="F71" s="88"/>
      <c r="G71"/>
      <c r="H71" s="105"/>
      <c r="I71" s="105"/>
      <c r="J71" s="1"/>
      <c r="K71" s="1"/>
      <c r="L71" s="105"/>
      <c r="M71" s="105"/>
      <c r="N71" s="1"/>
      <c r="O71" s="87"/>
      <c r="P71" s="88"/>
      <c r="Q71" s="88"/>
    </row>
  </sheetData>
  <mergeCells count="13">
    <mergeCell ref="G1:G2"/>
    <mergeCell ref="A1:A2"/>
    <mergeCell ref="B1:B2"/>
    <mergeCell ref="C1:C2"/>
    <mergeCell ref="D1:D2"/>
    <mergeCell ref="E1:E2"/>
    <mergeCell ref="N1:N2"/>
    <mergeCell ref="H1:H2"/>
    <mergeCell ref="I1:I2"/>
    <mergeCell ref="J1:J2"/>
    <mergeCell ref="K1:K2"/>
    <mergeCell ref="L1:L2"/>
    <mergeCell ref="M1:M2"/>
  </mergeCells>
  <pageMargins left="0.70866141732283516" right="0.70866141732283516" top="0.74803149606299213" bottom="0.74803149606299213" header="0.31496062992126012" footer="0.31496062992126012"/>
  <pageSetup paperSize="9" scale="71" fitToWidth="0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/>
  </sheetViews>
  <sheetFormatPr baseColWidth="10" defaultColWidth="11.5" defaultRowHeight="12" outlineLevelRow="1" x14ac:dyDescent="0"/>
  <cols>
    <col min="1" max="1" width="44.1640625" style="5" bestFit="1" customWidth="1"/>
    <col min="2" max="2" width="8" style="1" bestFit="1" customWidth="1"/>
    <col min="3" max="10" width="8.83203125" style="5" customWidth="1"/>
    <col min="11" max="11" width="11.1640625" style="5" customWidth="1"/>
    <col min="12" max="12" width="9" style="5" customWidth="1"/>
    <col min="13" max="13" width="10.83203125" style="5" customWidth="1"/>
    <col min="14" max="14" width="10.33203125" style="5" customWidth="1"/>
    <col min="15" max="15" width="11.5" style="4"/>
    <col min="16" max="16384" width="11.5" style="5"/>
  </cols>
  <sheetData>
    <row r="1" spans="1:15">
      <c r="A1" s="146" t="s">
        <v>20</v>
      </c>
      <c r="B1" s="147" t="s">
        <v>124</v>
      </c>
      <c r="C1" s="148" t="s">
        <v>125</v>
      </c>
      <c r="D1" s="148" t="s">
        <v>126</v>
      </c>
      <c r="E1" s="148" t="s">
        <v>127</v>
      </c>
      <c r="F1" s="148" t="s">
        <v>128</v>
      </c>
      <c r="G1" s="148" t="s">
        <v>129</v>
      </c>
      <c r="H1" s="148" t="s">
        <v>130</v>
      </c>
      <c r="I1" s="148" t="s">
        <v>131</v>
      </c>
      <c r="J1" s="148" t="s">
        <v>132</v>
      </c>
      <c r="K1" s="148" t="s">
        <v>133</v>
      </c>
      <c r="L1" s="148" t="s">
        <v>134</v>
      </c>
      <c r="M1" s="148" t="s">
        <v>135</v>
      </c>
      <c r="N1" s="148" t="s">
        <v>136</v>
      </c>
    </row>
    <row r="2" spans="1:15" customFormat="1" ht="3.5" customHeight="1">
      <c r="A2" s="149"/>
      <c r="B2" s="150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2"/>
    </row>
    <row r="3" spans="1:15" outlineLevel="1">
      <c r="A3" s="152" t="s">
        <v>0</v>
      </c>
      <c r="B3" s="153">
        <f>'P&amp;L_2010_et_2011'!K4</f>
        <v>26768.9</v>
      </c>
      <c r="C3" s="154">
        <f>+'[1]Recettes et Echéances'!D132</f>
        <v>6.0664787362663758E-2</v>
      </c>
      <c r="D3" s="154">
        <f>+'[1]Recettes et Echéances'!G132</f>
        <v>7.2559973969167468E-2</v>
      </c>
      <c r="E3" s="154">
        <f>+'[1]Recettes et Echéances'!H132</f>
        <v>7.026745877449686E-2</v>
      </c>
      <c r="F3" s="154">
        <f>+'[1]Recettes et Echéances'!I132</f>
        <v>7.1872112774419725E-2</v>
      </c>
      <c r="G3" s="154">
        <f>+'[1]Recettes et Echéances'!J132</f>
        <v>5.1390182319581493E-2</v>
      </c>
      <c r="H3" s="154">
        <f>+'[1]Recettes et Echéances'!K132</f>
        <v>8.4450467389007022E-2</v>
      </c>
      <c r="I3" s="154">
        <f>+'[1]Recettes et Echéances'!L132</f>
        <v>8.7975797520264701E-2</v>
      </c>
      <c r="J3" s="154">
        <f>+'[1]Recettes et Echéances'!M132</f>
        <v>7.9944834150702637E-2</v>
      </c>
      <c r="K3" s="154">
        <f>+'[1]Recettes et Echéances'!N132</f>
        <v>0.1027555004040247</v>
      </c>
      <c r="L3" s="154">
        <f>+'[1]Recettes et Echéances'!O132</f>
        <v>8.3605351996335744E-2</v>
      </c>
      <c r="M3" s="154">
        <f>+'[1]Recettes et Echéances'!P132</f>
        <v>4.7387482471318368E-2</v>
      </c>
      <c r="N3" s="154">
        <f>+'[1]Recettes et Echéances'!Q132</f>
        <v>0.1871260508680174</v>
      </c>
    </row>
    <row r="4" spans="1:15" outlineLevel="1">
      <c r="A4" s="155" t="s">
        <v>83</v>
      </c>
      <c r="B4" s="156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</row>
    <row r="5" spans="1:15" outlineLevel="1">
      <c r="A5" s="155" t="s">
        <v>137</v>
      </c>
      <c r="B5" s="156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5" customFormat="1" ht="3.5" customHeight="1">
      <c r="A6" s="149"/>
      <c r="B6" s="150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2"/>
    </row>
    <row r="7" spans="1:15">
      <c r="A7" s="158" t="s">
        <v>1</v>
      </c>
      <c r="B7" s="159">
        <f>+B3</f>
        <v>26768.9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</row>
    <row r="8" spans="1:15" customFormat="1" ht="3.5" customHeight="1">
      <c r="A8" s="149"/>
      <c r="B8" s="150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2"/>
    </row>
    <row r="9" spans="1:15">
      <c r="A9" s="160" t="s">
        <v>2</v>
      </c>
      <c r="B9" s="161">
        <f>'P&amp;L_2010_et_2011'!K10</f>
        <v>-66.5</v>
      </c>
      <c r="C9" s="154">
        <f>+'[2]DEPENSES PHR'!C12</f>
        <v>0</v>
      </c>
      <c r="D9" s="154">
        <f>+'[2]DEPENSES PHR'!D12</f>
        <v>6.7669172932330823E-2</v>
      </c>
      <c r="E9" s="154">
        <f>+'[2]DEPENSES PHR'!E12</f>
        <v>6.0150375939849621E-2</v>
      </c>
      <c r="F9" s="154">
        <f>+'[2]DEPENSES PHR'!F12</f>
        <v>0</v>
      </c>
      <c r="G9" s="154">
        <f>+'[2]DEPENSES PHR'!G12</f>
        <v>6.7669172932330823E-2</v>
      </c>
      <c r="H9" s="154">
        <f>+'[2]DEPENSES PHR'!H12</f>
        <v>0</v>
      </c>
      <c r="I9" s="154">
        <f>+'[2]DEPENSES PHR'!I12</f>
        <v>0</v>
      </c>
      <c r="J9" s="154">
        <f>+'[2]DEPENSES PHR'!J12</f>
        <v>6.7669172932330823E-2</v>
      </c>
      <c r="K9" s="154">
        <f>+'[2]DEPENSES PHR'!K12</f>
        <v>6.0150375939849621E-2</v>
      </c>
      <c r="L9" s="154">
        <f>+'[2]DEPENSES PHR'!L12</f>
        <v>0</v>
      </c>
      <c r="M9" s="154">
        <f>+'[2]DEPENSES PHR'!M12</f>
        <v>0.67669172932330823</v>
      </c>
      <c r="N9" s="154">
        <f>+'[2]DEPENSES PHR'!N12</f>
        <v>0</v>
      </c>
    </row>
    <row r="10" spans="1:15">
      <c r="A10" s="160" t="s">
        <v>138</v>
      </c>
      <c r="B10" s="161">
        <f>'P&amp;L_2010_et_2011'!K12</f>
        <v>-6627.3</v>
      </c>
      <c r="C10" s="154">
        <f>+'[2]DEPENSES PHR'!C16</f>
        <v>5.9948784749353869E-2</v>
      </c>
      <c r="D10" s="154">
        <f>+'[2]DEPENSES PHR'!D16</f>
        <v>6.0614838335632019E-2</v>
      </c>
      <c r="E10" s="154">
        <f>+'[2]DEPENSES PHR'!E16</f>
        <v>6.9614265608787501E-2</v>
      </c>
      <c r="F10" s="154">
        <f>+'[2]DEPENSES PHR'!F16</f>
        <v>7.6279643896849297E-2</v>
      </c>
      <c r="G10" s="154">
        <f>+'[2]DEPENSES PHR'!G16</f>
        <v>7.7944117531824633E-2</v>
      </c>
      <c r="H10" s="154">
        <f>+'[2]DEPENSES PHR'!H16</f>
        <v>8.2945022184911094E-2</v>
      </c>
      <c r="I10" s="154">
        <f>+'[2]DEPENSES PHR'!I16</f>
        <v>8.6277491218701971E-2</v>
      </c>
      <c r="J10" s="154">
        <f>+'[2]DEPENSES PHR'!J16</f>
        <v>9.1274874107948226E-2</v>
      </c>
      <c r="K10" s="154">
        <f>+'[2]DEPENSES PHR'!K16</f>
        <v>9.2942869506763767E-2</v>
      </c>
      <c r="L10" s="154">
        <f>+'[2]DEPENSES PHR'!L16</f>
        <v>9.6275778761034672E-2</v>
      </c>
      <c r="M10" s="154">
        <f>+'[2]DEPENSES PHR'!M16</f>
        <v>9.6275778761034672E-2</v>
      </c>
      <c r="N10" s="154">
        <f>+'[2]DEPENSES PHR'!N16</f>
        <v>0.10960653533715826</v>
      </c>
    </row>
    <row r="11" spans="1:15">
      <c r="A11" s="160" t="s">
        <v>95</v>
      </c>
      <c r="B11" s="161">
        <f>'P&amp;L_2010_et_2011'!K13</f>
        <v>-2008.6</v>
      </c>
      <c r="C11" s="162">
        <f>+'[2]DEPENSES PHR'!C2</f>
        <v>0.13340129256955216</v>
      </c>
      <c r="D11" s="162">
        <f>+'[2]DEPENSES PHR'!D2</f>
        <v>1.6215712192214592E-2</v>
      </c>
      <c r="E11" s="162">
        <f>+'[2]DEPENSES PHR'!E2</f>
        <v>0.30378030601817257</v>
      </c>
      <c r="F11" s="162">
        <f>+'[2]DEPENSES PHR'!F2</f>
        <v>1.6215712192214592E-2</v>
      </c>
      <c r="G11" s="162">
        <f>+'[2]DEPENSES PHR'!G2</f>
        <v>1.6215712192214592E-2</v>
      </c>
      <c r="H11" s="162">
        <f>+'[2]DEPENSES PHR'!H2</f>
        <v>0.14629884675108229</v>
      </c>
      <c r="I11" s="162">
        <f>+'[2]DEPENSES PHR'!I2</f>
        <v>1.6215712192214592E-2</v>
      </c>
      <c r="J11" s="162">
        <f>+'[2]DEPENSES PHR'!J2</f>
        <v>1.6215712192214592E-2</v>
      </c>
      <c r="K11" s="162">
        <f>+'[2]DEPENSES PHR'!K2</f>
        <v>0.15015967060351415</v>
      </c>
      <c r="L11" s="162">
        <f>+'[2]DEPENSES PHR'!L2</f>
        <v>1.6215712192214592E-2</v>
      </c>
      <c r="M11" s="162">
        <f>+'[2]DEPENSES PHR'!M2</f>
        <v>0.15284989871217666</v>
      </c>
      <c r="N11" s="162">
        <f>+'[2]DEPENSES PHR'!N2</f>
        <v>1.6215712192214592E-2</v>
      </c>
    </row>
    <row r="12" spans="1:15">
      <c r="A12" s="160" t="s">
        <v>3</v>
      </c>
      <c r="B12" s="161">
        <f>'P&amp;L_2010_et_2011'!K14</f>
        <v>-212</v>
      </c>
      <c r="C12" s="163">
        <f>+'[2]DEPENSES PHR'!C20</f>
        <v>8.4905660377358486E-2</v>
      </c>
      <c r="D12" s="163">
        <f>+'[2]DEPENSES PHR'!D20</f>
        <v>8.4905660377358486E-2</v>
      </c>
      <c r="E12" s="163">
        <f>+'[2]DEPENSES PHR'!E20</f>
        <v>8.4905660377358486E-2</v>
      </c>
      <c r="F12" s="163">
        <f>+'[2]DEPENSES PHR'!F20</f>
        <v>8.4905660377358486E-2</v>
      </c>
      <c r="G12" s="163">
        <f>+'[2]DEPENSES PHR'!G20</f>
        <v>8.4905660377358486E-2</v>
      </c>
      <c r="H12" s="163">
        <f>+'[2]DEPENSES PHR'!H20</f>
        <v>8.4905660377358486E-2</v>
      </c>
      <c r="I12" s="163">
        <f>+'[2]DEPENSES PHR'!I20</f>
        <v>8.4905660377358486E-2</v>
      </c>
      <c r="J12" s="163">
        <f>+'[2]DEPENSES PHR'!J20</f>
        <v>6.6037735849056603E-2</v>
      </c>
      <c r="K12" s="163">
        <f>+'[2]DEPENSES PHR'!K20</f>
        <v>8.4905660377358486E-2</v>
      </c>
      <c r="L12" s="163">
        <f>+'[2]DEPENSES PHR'!L20</f>
        <v>8.4905660377358486E-2</v>
      </c>
      <c r="M12" s="163">
        <f>+'[2]DEPENSES PHR'!M20</f>
        <v>8.4905660377358486E-2</v>
      </c>
      <c r="N12" s="163">
        <f>+'[2]DEPENSES PHR'!N20</f>
        <v>8.4905660377358486E-2</v>
      </c>
    </row>
    <row r="13" spans="1:15">
      <c r="A13" s="160" t="s">
        <v>4</v>
      </c>
      <c r="B13" s="161">
        <f>'P&amp;L_2010_et_2011'!K16</f>
        <v>-1933.2655099999997</v>
      </c>
      <c r="C13" s="163">
        <f>+'[2]DEPENSES PHR'!C23</f>
        <v>0.1271843565863853</v>
      </c>
      <c r="D13" s="163">
        <f>+'[2]DEPENSES PHR'!D23</f>
        <v>6.2097988806514216E-2</v>
      </c>
      <c r="E13" s="163">
        <f>+'[2]DEPENSES PHR'!E23</f>
        <v>6.5684112887318818E-2</v>
      </c>
      <c r="F13" s="163">
        <f>+'[2]DEPENSES PHR'!F23</f>
        <v>0.12669880506997719</v>
      </c>
      <c r="G13" s="163">
        <f>+'[2]DEPENSES PHR'!G23</f>
        <v>6.1547179828393056E-2</v>
      </c>
      <c r="H13" s="163">
        <f>+'[2]DEPENSES PHR'!H23</f>
        <v>6.5198561370910721E-2</v>
      </c>
      <c r="I13" s="163">
        <f>+'[2]DEPENSES PHR'!I23</f>
        <v>0.12612027098129941</v>
      </c>
      <c r="J13" s="163">
        <f>+'[2]DEPENSES PHR'!J23</f>
        <v>5.9931162792016088E-2</v>
      </c>
      <c r="K13" s="163">
        <f>+'[2]DEPENSES PHR'!K23</f>
        <v>6.3092001263706399E-2</v>
      </c>
      <c r="L13" s="163">
        <f>+'[2]DEPENSES PHR'!L23</f>
        <v>0.12612027098129941</v>
      </c>
      <c r="M13" s="163">
        <f>+'[2]DEPENSES PHR'!M23</f>
        <v>5.7832418476239204E-2</v>
      </c>
      <c r="N13" s="163">
        <f>+'[2]DEPENSES PHR'!N23</f>
        <v>5.8492870955940239E-2</v>
      </c>
    </row>
    <row r="14" spans="1:15">
      <c r="A14" s="160" t="s">
        <v>5</v>
      </c>
      <c r="B14" s="161">
        <f>'P&amp;L_2010_et_2011'!K17</f>
        <v>-51.1</v>
      </c>
      <c r="C14" s="163">
        <f>+'[2]DEPENSES PHR'!C56</f>
        <v>6.0504070131496557E-2</v>
      </c>
      <c r="D14" s="163">
        <f>+'[2]DEPENSES PHR'!D56</f>
        <v>6.0504070131496557E-2</v>
      </c>
      <c r="E14" s="163">
        <f>+'[2]DEPENSES PHR'!E56</f>
        <v>0.12899185973700689</v>
      </c>
      <c r="F14" s="163">
        <f>+'[2]DEPENSES PHR'!F56</f>
        <v>6.0504070131496557E-2</v>
      </c>
      <c r="G14" s="163">
        <f>+'[2]DEPENSES PHR'!G56</f>
        <v>6.0504070131496557E-2</v>
      </c>
      <c r="H14" s="163">
        <f>+'[2]DEPENSES PHR'!H56</f>
        <v>0.12899185973700689</v>
      </c>
      <c r="I14" s="163">
        <f>+'[2]DEPENSES PHR'!I56</f>
        <v>6.0504070131496557E-2</v>
      </c>
      <c r="J14" s="163">
        <f>+'[2]DEPENSES PHR'!J56</f>
        <v>6.0504070131496557E-2</v>
      </c>
      <c r="K14" s="163">
        <f>+'[2]DEPENSES PHR'!K56</f>
        <v>0.12899185973700689</v>
      </c>
      <c r="L14" s="163">
        <f>+'[2]DEPENSES PHR'!L56</f>
        <v>6.0504070131496557E-2</v>
      </c>
      <c r="M14" s="163">
        <f>+'[2]DEPENSES PHR'!M56</f>
        <v>6.0504070131496557E-2</v>
      </c>
      <c r="N14" s="163">
        <f>+'[2]DEPENSES PHR'!N56</f>
        <v>0.12899185973700689</v>
      </c>
    </row>
    <row r="15" spans="1:15">
      <c r="A15" s="160" t="s">
        <v>6</v>
      </c>
      <c r="B15" s="161">
        <f>'P&amp;L_2010_et_2011'!K18</f>
        <v>-16.7</v>
      </c>
      <c r="C15" s="163">
        <f>+'[2]DEPENSES PHR'!C62</f>
        <v>8.9820359281437126E-2</v>
      </c>
      <c r="D15" s="163">
        <f>+'[2]DEPENSES PHR'!D62</f>
        <v>8.9820359281437126E-2</v>
      </c>
      <c r="E15" s="163">
        <f>+'[2]DEPENSES PHR'!E62</f>
        <v>0.19760479041916168</v>
      </c>
      <c r="F15" s="163">
        <f>+'[2]DEPENSES PHR'!F62</f>
        <v>2.9940119760479042E-2</v>
      </c>
      <c r="G15" s="163">
        <f>+'[2]DEPENSES PHR'!G62</f>
        <v>2.9940119760479042E-2</v>
      </c>
      <c r="H15" s="163">
        <f>+'[2]DEPENSES PHR'!H62</f>
        <v>0.10778443113772455</v>
      </c>
      <c r="I15" s="163">
        <f>+'[2]DEPENSES PHR'!I62</f>
        <v>0</v>
      </c>
      <c r="J15" s="163">
        <f>+'[2]DEPENSES PHR'!J62</f>
        <v>0</v>
      </c>
      <c r="K15" s="163">
        <f>+'[2]DEPENSES PHR'!K62</f>
        <v>0.1377245508982036</v>
      </c>
      <c r="L15" s="163">
        <f>+'[2]DEPENSES PHR'!L62</f>
        <v>2.9940119760479042E-2</v>
      </c>
      <c r="M15" s="163">
        <f>+'[2]DEPENSES PHR'!M62</f>
        <v>8.9820359281437126E-2</v>
      </c>
      <c r="N15" s="163">
        <f>+'[2]DEPENSES PHR'!N62</f>
        <v>0.19760479041916168</v>
      </c>
    </row>
    <row r="16" spans="1:15">
      <c r="A16" s="160" t="s">
        <v>7</v>
      </c>
      <c r="B16" s="161">
        <f>'P&amp;L_2010_et_2011'!K19</f>
        <v>-167.2</v>
      </c>
      <c r="C16" s="163">
        <f>+'[2]DEPENSES PHR'!C66</f>
        <v>0.17075358851674641</v>
      </c>
      <c r="D16" s="163">
        <f>+'[2]DEPENSES PHR'!D66</f>
        <v>0.11961722488038277</v>
      </c>
      <c r="E16" s="163">
        <f>+'[2]DEPENSES PHR'!E66</f>
        <v>0</v>
      </c>
      <c r="F16" s="163">
        <f>+'[2]DEPENSES PHR'!F66</f>
        <v>0.17075358851674641</v>
      </c>
      <c r="G16" s="163">
        <f>+'[2]DEPENSES PHR'!G66</f>
        <v>0</v>
      </c>
      <c r="H16" s="163">
        <f>+'[2]DEPENSES PHR'!H66</f>
        <v>0</v>
      </c>
      <c r="I16" s="163">
        <f>+'[2]DEPENSES PHR'!I66</f>
        <v>0.17075358851674641</v>
      </c>
      <c r="J16" s="163">
        <f>+'[2]DEPENSES PHR'!J66</f>
        <v>0</v>
      </c>
      <c r="K16" s="163">
        <f>+'[2]DEPENSES PHR'!K66</f>
        <v>0.19736842105263158</v>
      </c>
      <c r="L16" s="163">
        <f>+'[2]DEPENSES PHR'!L66</f>
        <v>0.17075358851674641</v>
      </c>
      <c r="M16" s="163">
        <f>+'[2]DEPENSES PHR'!M66</f>
        <v>0</v>
      </c>
      <c r="N16" s="163">
        <f>+'[2]DEPENSES PHR'!N66</f>
        <v>0</v>
      </c>
    </row>
    <row r="17" spans="1:15">
      <c r="A17" s="160" t="s">
        <v>8</v>
      </c>
      <c r="B17" s="161">
        <f>'P&amp;L_2010_et_2011'!K20</f>
        <v>-5</v>
      </c>
      <c r="C17" s="163">
        <f>+'[2]DEPENSES PHR'!C69</f>
        <v>0</v>
      </c>
      <c r="D17" s="163">
        <f>+'[2]DEPENSES PHR'!D69</f>
        <v>0</v>
      </c>
      <c r="E17" s="163">
        <f>+'[2]DEPENSES PHR'!E69</f>
        <v>0.1</v>
      </c>
      <c r="F17" s="163">
        <f>+'[2]DEPENSES PHR'!F69</f>
        <v>0.1</v>
      </c>
      <c r="G17" s="163">
        <f>+'[2]DEPENSES PHR'!G69</f>
        <v>0.1</v>
      </c>
      <c r="H17" s="163">
        <f>+'[2]DEPENSES PHR'!H69</f>
        <v>0.1</v>
      </c>
      <c r="I17" s="163">
        <f>+'[2]DEPENSES PHR'!I69</f>
        <v>0.1</v>
      </c>
      <c r="J17" s="163">
        <f>+'[2]DEPENSES PHR'!J69</f>
        <v>0.1</v>
      </c>
      <c r="K17" s="163">
        <f>+'[2]DEPENSES PHR'!K69</f>
        <v>0.1</v>
      </c>
      <c r="L17" s="163">
        <f>+'[2]DEPENSES PHR'!L69</f>
        <v>0.1</v>
      </c>
      <c r="M17" s="163">
        <f>+'[2]DEPENSES PHR'!M69</f>
        <v>0.1</v>
      </c>
      <c r="N17" s="163">
        <f>+'[2]DEPENSES PHR'!N69</f>
        <v>0.1</v>
      </c>
    </row>
    <row r="18" spans="1:15">
      <c r="A18" s="160" t="s">
        <v>9</v>
      </c>
      <c r="B18" s="161">
        <f>'P&amp;L_2010_et_2011'!K21</f>
        <v>-742.6</v>
      </c>
      <c r="C18" s="163">
        <f>+'[2]DEPENSES PHR'!C72</f>
        <v>3.2181808413474455E-2</v>
      </c>
      <c r="D18" s="163">
        <f>+'[2]DEPENSES PHR'!D72</f>
        <v>7.247622629345081E-2</v>
      </c>
      <c r="E18" s="163">
        <f>+'[2]DEPENSES PHR'!E72</f>
        <v>7.247622629345081E-2</v>
      </c>
      <c r="F18" s="163">
        <f>+'[2]DEPENSES PHR'!F72</f>
        <v>7.247622629345081E-2</v>
      </c>
      <c r="G18" s="163">
        <f>+'[2]DEPENSES PHR'!G72</f>
        <v>0.1490356202654059</v>
      </c>
      <c r="H18" s="163">
        <f>+'[2]DEPENSES PHR'!H72</f>
        <v>7.247622629345081E-2</v>
      </c>
      <c r="I18" s="163">
        <f>+'[2]DEPENSES PHR'!I72</f>
        <v>7.247622629345081E-2</v>
      </c>
      <c r="J18" s="163">
        <f>+'[2]DEPENSES PHR'!J72</f>
        <v>3.2181808413474455E-2</v>
      </c>
      <c r="K18" s="163">
        <f>+'[2]DEPENSES PHR'!K72</f>
        <v>3.2181808413474455E-2</v>
      </c>
      <c r="L18" s="163">
        <f>+'[2]DEPENSES PHR'!L72</f>
        <v>0.11277064417342718</v>
      </c>
      <c r="M18" s="163">
        <f>+'[2]DEPENSES PHR'!M72</f>
        <v>0.13963358942674475</v>
      </c>
      <c r="N18" s="163">
        <f>+'[2]DEPENSES PHR'!N72</f>
        <v>0.13963358942674475</v>
      </c>
    </row>
    <row r="19" spans="1:15">
      <c r="A19" s="160" t="s">
        <v>10</v>
      </c>
      <c r="B19" s="161">
        <f>'P&amp;L_2010_et_2011'!K22</f>
        <v>-1733.1000000000004</v>
      </c>
      <c r="C19" s="163">
        <f>+'[2]DEPENSES PHR'!C79</f>
        <v>5.8616092131705058E-2</v>
      </c>
      <c r="D19" s="163">
        <f>+'[2]DEPENSES PHR'!D79</f>
        <v>6.4731797804915751E-4</v>
      </c>
      <c r="E19" s="163">
        <f>+'[2]DEPENSES PHR'!E79</f>
        <v>6.4731797804915751E-4</v>
      </c>
      <c r="F19" s="163">
        <f>+'[2]DEPENSES PHR'!F79</f>
        <v>6.4731797804915751E-4</v>
      </c>
      <c r="G19" s="163">
        <f>+'[2]DEPENSES PHR'!G79</f>
        <v>6.4731797804915751E-4</v>
      </c>
      <c r="H19" s="163">
        <f>+'[2]DEPENSES PHR'!H79</f>
        <v>6.4731797804915751E-4</v>
      </c>
      <c r="I19" s="163">
        <f>+'[2]DEPENSES PHR'!I79</f>
        <v>6.4731797804915751E-4</v>
      </c>
      <c r="J19" s="163">
        <f>+'[2]DEPENSES PHR'!J79</f>
        <v>0.1455692533621889</v>
      </c>
      <c r="K19" s="163">
        <f>+'[2]DEPENSES PHR'!K79</f>
        <v>6.4731797804915751E-4</v>
      </c>
      <c r="L19" s="163">
        <f>+'[2]DEPENSES PHR'!L79</f>
        <v>0.3953180553408564</v>
      </c>
      <c r="M19" s="163">
        <f>+'[2]DEPENSES PHR'!M79</f>
        <v>0.19387656515690216</v>
      </c>
      <c r="N19" s="163">
        <f>+'[2]DEPENSES PHR'!N79</f>
        <v>0.20208880816200339</v>
      </c>
    </row>
    <row r="20" spans="1:15">
      <c r="A20" s="160" t="s">
        <v>11</v>
      </c>
      <c r="B20" s="161">
        <f>'P&amp;L_2010_et_2011'!K23</f>
        <v>-1485.1999999999998</v>
      </c>
      <c r="C20" s="163">
        <f>+'[2]DEPENSES PHR'!C92</f>
        <v>7.1007383145554867E-2</v>
      </c>
      <c r="D20" s="163">
        <f>+'[2]DEPENSES PHR'!D92</f>
        <v>7.1007383145554867E-2</v>
      </c>
      <c r="E20" s="163">
        <f>+'[2]DEPENSES PHR'!E92</f>
        <v>7.1007383145554867E-2</v>
      </c>
      <c r="F20" s="163">
        <f>+'[2]DEPENSES PHR'!F92</f>
        <v>0.10058966359622316</v>
      </c>
      <c r="G20" s="163">
        <f>+'[2]DEPENSES PHR'!G92</f>
        <v>0.10058966359622316</v>
      </c>
      <c r="H20" s="163">
        <f>+'[2]DEPENSES PHR'!H92</f>
        <v>0.10058966359622316</v>
      </c>
      <c r="I20" s="163">
        <f>+'[2]DEPENSES PHR'!I92</f>
        <v>7.1007383145554867E-2</v>
      </c>
      <c r="J20" s="163">
        <f>+'[2]DEPENSES PHR'!J92</f>
        <v>7.1007383145554867E-2</v>
      </c>
      <c r="K20" s="163">
        <f>+'[2]DEPENSES PHR'!K92</f>
        <v>0.10058966359622316</v>
      </c>
      <c r="L20" s="163">
        <f>+'[2]DEPENSES PHR'!L92</f>
        <v>0.10058966359622316</v>
      </c>
      <c r="M20" s="163">
        <f>+'[2]DEPENSES PHR'!M92</f>
        <v>7.1007383145554867E-2</v>
      </c>
      <c r="N20" s="163">
        <f>+'[2]DEPENSES PHR'!N92</f>
        <v>7.1007383145554867E-2</v>
      </c>
    </row>
    <row r="21" spans="1:15">
      <c r="A21" s="160" t="s">
        <v>12</v>
      </c>
      <c r="B21" s="161">
        <f>'P&amp;L_2010_et_2011'!K24</f>
        <v>-506.8732</v>
      </c>
      <c r="C21" s="163">
        <f>+'[2]DEPENSES PHR'!C99</f>
        <v>9.6714764300472073E-2</v>
      </c>
      <c r="D21" s="163">
        <f>+'[2]DEPENSES PHR'!D99</f>
        <v>7.6642617849763964E-2</v>
      </c>
      <c r="E21" s="163">
        <f>+'[2]DEPENSES PHR'!E99</f>
        <v>7.6642617849763964E-2</v>
      </c>
      <c r="F21" s="163">
        <f>+'[2]DEPENSES PHR'!F99</f>
        <v>9.6714764300472073E-2</v>
      </c>
      <c r="G21" s="163">
        <f>+'[2]DEPENSES PHR'!G99</f>
        <v>7.6642617849763964E-2</v>
      </c>
      <c r="H21" s="163">
        <f>+'[2]DEPENSES PHR'!H99</f>
        <v>7.6642617849763964E-2</v>
      </c>
      <c r="I21" s="163">
        <f>+'[2]DEPENSES PHR'!I99</f>
        <v>9.6714764300472073E-2</v>
      </c>
      <c r="J21" s="163">
        <f>+'[2]DEPENSES PHR'!J99</f>
        <v>7.6642617849763964E-2</v>
      </c>
      <c r="K21" s="163">
        <f>+'[2]DEPENSES PHR'!K99</f>
        <v>7.6642617849763964E-2</v>
      </c>
      <c r="L21" s="163">
        <f>+'[2]DEPENSES PHR'!L99</f>
        <v>9.6714764300472073E-2</v>
      </c>
      <c r="M21" s="163">
        <f>+'[2]DEPENSES PHR'!M99</f>
        <v>7.6642617849763964E-2</v>
      </c>
      <c r="N21" s="163">
        <f>+'[2]DEPENSES PHR'!N99</f>
        <v>7.6642617849763964E-2</v>
      </c>
    </row>
    <row r="22" spans="1:15">
      <c r="A22" s="160" t="s">
        <v>13</v>
      </c>
      <c r="B22" s="161">
        <f>'P&amp;L_2010_et_2011'!K25</f>
        <v>-250</v>
      </c>
      <c r="C22" s="163">
        <f>+'[2]DEPENSES PHR'!C105</f>
        <v>8.2267068094203907E-2</v>
      </c>
      <c r="D22" s="163">
        <f>+'[2]DEPENSES PHR'!D105</f>
        <v>8.2267068094203907E-2</v>
      </c>
      <c r="E22" s="163">
        <f>+'[2]DEPENSES PHR'!E105</f>
        <v>8.7065261670286387E-2</v>
      </c>
      <c r="F22" s="163">
        <f>+'[2]DEPENSES PHR'!F105</f>
        <v>8.2267068094203907E-2</v>
      </c>
      <c r="G22" s="163">
        <f>+'[2]DEPENSES PHR'!G105</f>
        <v>8.2267068094203907E-2</v>
      </c>
      <c r="H22" s="163">
        <f>+'[2]DEPENSES PHR'!H105</f>
        <v>8.2267068094203907E-2</v>
      </c>
      <c r="I22" s="163">
        <f>+'[2]DEPENSES PHR'!I105</f>
        <v>8.2267068094203907E-2</v>
      </c>
      <c r="J22" s="163">
        <f>+'[2]DEPENSES PHR'!J105</f>
        <v>8.2267068094203907E-2</v>
      </c>
      <c r="K22" s="163">
        <f>+'[2]DEPENSES PHR'!K105</f>
        <v>8.2267068094203907E-2</v>
      </c>
      <c r="L22" s="163">
        <f>+'[2]DEPENSES PHR'!L105</f>
        <v>8.2267068094203907E-2</v>
      </c>
      <c r="M22" s="163">
        <f>+'[2]DEPENSES PHR'!M105</f>
        <v>9.0264057387674693E-2</v>
      </c>
      <c r="N22" s="163">
        <f>+'[2]DEPENSES PHR'!N105</f>
        <v>8.2267068094203907E-2</v>
      </c>
    </row>
    <row r="23" spans="1:15">
      <c r="A23" s="160" t="s">
        <v>14</v>
      </c>
      <c r="B23" s="161">
        <f>'P&amp;L_2010_et_2011'!K26</f>
        <v>-48</v>
      </c>
      <c r="C23" s="163">
        <f>+'[2]DEPENSES PHR'!C116</f>
        <v>8.3333333333333329E-2</v>
      </c>
      <c r="D23" s="163">
        <f>+'[2]DEPENSES PHR'!D116</f>
        <v>8.3333333333333329E-2</v>
      </c>
      <c r="E23" s="163">
        <f>+'[2]DEPENSES PHR'!E116</f>
        <v>8.3333333333333329E-2</v>
      </c>
      <c r="F23" s="163">
        <f>+'[2]DEPENSES PHR'!F116</f>
        <v>8.3333333333333329E-2</v>
      </c>
      <c r="G23" s="163">
        <f>+'[2]DEPENSES PHR'!G116</f>
        <v>8.3333333333333329E-2</v>
      </c>
      <c r="H23" s="163">
        <f>+'[2]DEPENSES PHR'!H116</f>
        <v>8.3333333333333329E-2</v>
      </c>
      <c r="I23" s="163">
        <f>+'[2]DEPENSES PHR'!I116</f>
        <v>8.3333333333333329E-2</v>
      </c>
      <c r="J23" s="163">
        <f>+'[2]DEPENSES PHR'!J116</f>
        <v>8.3333333333333329E-2</v>
      </c>
      <c r="K23" s="163">
        <f>+'[2]DEPENSES PHR'!K116</f>
        <v>8.3333333333333329E-2</v>
      </c>
      <c r="L23" s="163">
        <f>+'[2]DEPENSES PHR'!L116</f>
        <v>8.3333333333333329E-2</v>
      </c>
      <c r="M23" s="163">
        <f>+'[2]DEPENSES PHR'!M116</f>
        <v>8.3333333333333329E-2</v>
      </c>
      <c r="N23" s="163">
        <f>+'[2]DEPENSES PHR'!N116</f>
        <v>8.3333333333333329E-2</v>
      </c>
    </row>
    <row r="24" spans="1:15">
      <c r="A24" s="160" t="s">
        <v>15</v>
      </c>
      <c r="B24" s="161">
        <f>'P&amp;L_2010_et_2011'!K27</f>
        <v>-420</v>
      </c>
      <c r="C24" s="163">
        <f>+'[2]DEPENSES PHR'!C119</f>
        <v>0</v>
      </c>
      <c r="D24" s="163">
        <f>+'[2]DEPENSES PHR'!D119</f>
        <v>0.27380952380952384</v>
      </c>
      <c r="E24" s="163">
        <f>+'[2]DEPENSES PHR'!E119</f>
        <v>2.3809523809523812E-3</v>
      </c>
      <c r="F24" s="163">
        <f>+'[2]DEPENSES PHR'!F119</f>
        <v>0</v>
      </c>
      <c r="G24" s="163">
        <f>+'[2]DEPENSES PHR'!G119</f>
        <v>0.12857142857142856</v>
      </c>
      <c r="H24" s="163">
        <f>+'[2]DEPENSES PHR'!H119</f>
        <v>0.16666666666666666</v>
      </c>
      <c r="I24" s="163">
        <f>+'[2]DEPENSES PHR'!I119</f>
        <v>0</v>
      </c>
      <c r="J24" s="163">
        <f>+'[2]DEPENSES PHR'!J119</f>
        <v>0</v>
      </c>
      <c r="K24" s="163">
        <f>+'[2]DEPENSES PHR'!K119</f>
        <v>0.16666666666666666</v>
      </c>
      <c r="L24" s="163">
        <f>+'[2]DEPENSES PHR'!L119</f>
        <v>0</v>
      </c>
      <c r="M24" s="163">
        <f>+'[2]DEPENSES PHR'!M119</f>
        <v>0.22380952380952382</v>
      </c>
      <c r="N24" s="163">
        <f>+'[2]DEPENSES PHR'!N119</f>
        <v>3.8095238095238099E-2</v>
      </c>
    </row>
    <row r="25" spans="1:15">
      <c r="A25" s="160" t="s">
        <v>16</v>
      </c>
      <c r="B25" s="161">
        <f>'P&amp;L_2010_et_2011'!K28</f>
        <v>-5761.0344827586205</v>
      </c>
      <c r="C25" s="163">
        <f>+'[2]DEPENSES PHR'!C124</f>
        <v>7.6470588235294124E-2</v>
      </c>
      <c r="D25" s="163">
        <f>+'[2]DEPENSES PHR'!D124</f>
        <v>7.6470588235294124E-2</v>
      </c>
      <c r="E25" s="163">
        <f>+'[2]DEPENSES PHR'!E124</f>
        <v>7.6470588235294124E-2</v>
      </c>
      <c r="F25" s="163">
        <f>+'[2]DEPENSES PHR'!F124</f>
        <v>7.6470588235294124E-2</v>
      </c>
      <c r="G25" s="163">
        <f>+'[2]DEPENSES PHR'!G124</f>
        <v>7.6470588235294124E-2</v>
      </c>
      <c r="H25" s="163">
        <f>+'[2]DEPENSES PHR'!H124</f>
        <v>0.11764705882352941</v>
      </c>
      <c r="I25" s="163">
        <f>+'[2]DEPENSES PHR'!I124</f>
        <v>7.6470588235294124E-2</v>
      </c>
      <c r="J25" s="163">
        <f>+'[2]DEPENSES PHR'!J124</f>
        <v>7.6470588235294124E-2</v>
      </c>
      <c r="K25" s="163">
        <f>+'[2]DEPENSES PHR'!K124</f>
        <v>7.6470588235294124E-2</v>
      </c>
      <c r="L25" s="163">
        <f>+'[2]DEPENSES PHR'!L124</f>
        <v>7.6470588235294124E-2</v>
      </c>
      <c r="M25" s="163">
        <f>+'[2]DEPENSES PHR'!M124</f>
        <v>7.6470588235294124E-2</v>
      </c>
      <c r="N25" s="163">
        <f>+'[2]DEPENSES PHR'!N124</f>
        <v>0.11764705882352941</v>
      </c>
    </row>
    <row r="26" spans="1:15">
      <c r="A26" s="160" t="s">
        <v>17</v>
      </c>
      <c r="B26" s="161">
        <f>'P&amp;L_2010_et_2011'!K29</f>
        <v>-2592.4655172413795</v>
      </c>
      <c r="C26" s="163">
        <f>+'[2]DEPENSES PHR'!C124</f>
        <v>7.6470588235294124E-2</v>
      </c>
      <c r="D26" s="163">
        <f>+'[2]DEPENSES PHR'!D124</f>
        <v>7.6470588235294124E-2</v>
      </c>
      <c r="E26" s="163">
        <f>+'[2]DEPENSES PHR'!E124</f>
        <v>7.6470588235294124E-2</v>
      </c>
      <c r="F26" s="163">
        <f>+'[2]DEPENSES PHR'!F124</f>
        <v>7.6470588235294124E-2</v>
      </c>
      <c r="G26" s="163">
        <f>+'[2]DEPENSES PHR'!G124</f>
        <v>7.6470588235294124E-2</v>
      </c>
      <c r="H26" s="163">
        <f>+'[2]DEPENSES PHR'!H124</f>
        <v>0.11764705882352941</v>
      </c>
      <c r="I26" s="163">
        <f>+'[2]DEPENSES PHR'!I124</f>
        <v>7.6470588235294124E-2</v>
      </c>
      <c r="J26" s="163">
        <f>+'[2]DEPENSES PHR'!J124</f>
        <v>7.6470588235294124E-2</v>
      </c>
      <c r="K26" s="163">
        <f>+'[2]DEPENSES PHR'!K124</f>
        <v>7.6470588235294124E-2</v>
      </c>
      <c r="L26" s="163">
        <f>+'[2]DEPENSES PHR'!L124</f>
        <v>7.6470588235294124E-2</v>
      </c>
      <c r="M26" s="163">
        <f>+'[2]DEPENSES PHR'!M124</f>
        <v>7.6470588235294124E-2</v>
      </c>
      <c r="N26" s="163">
        <f>+'[2]DEPENSES PHR'!N124</f>
        <v>0.11764705882352941</v>
      </c>
    </row>
    <row r="27" spans="1:15" customFormat="1" ht="3.5" customHeight="1">
      <c r="A27" s="149"/>
      <c r="B27" s="150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2"/>
    </row>
    <row r="28" spans="1:15">
      <c r="A28" s="158" t="s">
        <v>18</v>
      </c>
      <c r="B28" s="159">
        <f>SUM(B9:B27)</f>
        <v>-24626.938710000002</v>
      </c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</row>
    <row r="29" spans="1:15" customFormat="1" ht="3.5" customHeight="1">
      <c r="A29" s="149"/>
      <c r="B29" s="150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2"/>
    </row>
    <row r="30" spans="1:15">
      <c r="A30" s="164" t="s">
        <v>19</v>
      </c>
      <c r="B30" s="165">
        <f>+B7+B28</f>
        <v>2141.9612899999993</v>
      </c>
      <c r="C30" s="157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</row>
    <row r="31" spans="1:15" customFormat="1" ht="3.5" customHeight="1">
      <c r="A31" s="149"/>
      <c r="B31" s="150"/>
      <c r="C31" s="151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2"/>
    </row>
    <row r="32" spans="1:15">
      <c r="A32" s="160" t="s">
        <v>21</v>
      </c>
      <c r="B32" s="111">
        <f>'P&amp;L_2010_et_2011'!K35</f>
        <v>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5">
      <c r="A33" s="160" t="s">
        <v>139</v>
      </c>
      <c r="B33" s="111">
        <f>'P&amp;L_2010_et_2011'!K36</f>
        <v>-110</v>
      </c>
      <c r="C33" s="163">
        <f>1/12</f>
        <v>8.3333333333333329E-2</v>
      </c>
      <c r="D33" s="163">
        <f t="shared" ref="D33:N33" si="0">1/12</f>
        <v>8.3333333333333329E-2</v>
      </c>
      <c r="E33" s="163">
        <f t="shared" si="0"/>
        <v>8.3333333333333329E-2</v>
      </c>
      <c r="F33" s="163">
        <f t="shared" si="0"/>
        <v>8.3333333333333329E-2</v>
      </c>
      <c r="G33" s="163">
        <f t="shared" si="0"/>
        <v>8.3333333333333329E-2</v>
      </c>
      <c r="H33" s="163">
        <f t="shared" si="0"/>
        <v>8.3333333333333329E-2</v>
      </c>
      <c r="I33" s="163">
        <f t="shared" si="0"/>
        <v>8.3333333333333329E-2</v>
      </c>
      <c r="J33" s="163">
        <f t="shared" si="0"/>
        <v>8.3333333333333329E-2</v>
      </c>
      <c r="K33" s="163">
        <f t="shared" si="0"/>
        <v>8.3333333333333329E-2</v>
      </c>
      <c r="L33" s="163">
        <f t="shared" si="0"/>
        <v>8.3333333333333329E-2</v>
      </c>
      <c r="M33" s="163">
        <f t="shared" si="0"/>
        <v>8.3333333333333329E-2</v>
      </c>
      <c r="N33" s="163">
        <f t="shared" si="0"/>
        <v>8.3333333333333329E-2</v>
      </c>
    </row>
    <row r="34" spans="1:15" customFormat="1" ht="3.5" customHeight="1">
      <c r="A34" s="149"/>
      <c r="B34" s="150"/>
      <c r="C34" s="151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2"/>
    </row>
    <row r="35" spans="1:15">
      <c r="A35" s="164" t="s">
        <v>22</v>
      </c>
      <c r="B35" s="165">
        <f>SUM(B30:B34)</f>
        <v>2031.9612899999993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5" customFormat="1" ht="3.5" customHeight="1">
      <c r="A36" s="149"/>
      <c r="B36" s="150"/>
      <c r="C36" s="151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2"/>
    </row>
    <row r="37" spans="1:15" s="4" customFormat="1">
      <c r="A37" s="6"/>
      <c r="B37" s="3"/>
    </row>
    <row r="38" spans="1:15" s="4" customFormat="1">
      <c r="A38" s="6"/>
      <c r="B38" s="3"/>
    </row>
    <row r="39" spans="1:15" s="4" customFormat="1">
      <c r="A39" s="6"/>
      <c r="B39" s="3"/>
    </row>
    <row r="40" spans="1:15" s="4" customFormat="1">
      <c r="A40" s="6"/>
      <c r="B40" s="3"/>
    </row>
    <row r="41" spans="1:15" s="4" customFormat="1">
      <c r="A41" s="6"/>
      <c r="B41" s="3"/>
    </row>
    <row r="42" spans="1:15" s="4" customFormat="1">
      <c r="A42" s="6"/>
      <c r="B42" s="3"/>
    </row>
    <row r="43" spans="1:15" s="4" customFormat="1">
      <c r="A43" s="6"/>
      <c r="B43" s="3"/>
    </row>
    <row r="44" spans="1:15" s="4" customFormat="1">
      <c r="A44" s="6"/>
      <c r="B44" s="3"/>
    </row>
    <row r="45" spans="1:15" s="4" customFormat="1">
      <c r="A45" s="6"/>
      <c r="B45" s="3"/>
    </row>
    <row r="46" spans="1:15" s="4" customFormat="1">
      <c r="A46" s="6"/>
      <c r="B46" s="3"/>
    </row>
    <row r="47" spans="1:15">
      <c r="A47" s="7"/>
    </row>
    <row r="48" spans="1:15">
      <c r="A48" s="7"/>
    </row>
    <row r="49" spans="1:1">
      <c r="A49" s="7"/>
    </row>
    <row r="50" spans="1:1">
      <c r="A50" s="7"/>
    </row>
    <row r="51" spans="1:1">
      <c r="A51" s="7"/>
    </row>
    <row r="52" spans="1:1">
      <c r="A52" s="7"/>
    </row>
    <row r="53" spans="1:1">
      <c r="A53" s="7"/>
    </row>
    <row r="54" spans="1:1">
      <c r="A54" s="7"/>
    </row>
    <row r="55" spans="1:1">
      <c r="A55" s="7"/>
    </row>
    <row r="56" spans="1:1">
      <c r="A56" s="7"/>
    </row>
    <row r="57" spans="1:1">
      <c r="A57" s="7"/>
    </row>
    <row r="58" spans="1:1">
      <c r="A58" s="7"/>
    </row>
    <row r="59" spans="1:1">
      <c r="A59" s="7"/>
    </row>
    <row r="60" spans="1:1">
      <c r="A60" s="7"/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="90" zoomScaleNormal="90" zoomScalePageLayoutView="90" workbookViewId="0"/>
  </sheetViews>
  <sheetFormatPr baseColWidth="10" defaultColWidth="11.5" defaultRowHeight="12" outlineLevelRow="1" x14ac:dyDescent="0"/>
  <cols>
    <col min="1" max="1" width="26.1640625" style="5" bestFit="1" customWidth="1"/>
    <col min="2" max="2" width="6.33203125" style="5" bestFit="1" customWidth="1"/>
    <col min="3" max="3" width="6.33203125" style="5" customWidth="1"/>
    <col min="4" max="13" width="6.5" style="5" customWidth="1"/>
    <col min="14" max="14" width="7.33203125" style="4" bestFit="1" customWidth="1"/>
    <col min="15" max="15" width="11.5" style="4"/>
    <col min="16" max="16384" width="11.5" style="5"/>
  </cols>
  <sheetData>
    <row r="1" spans="1:15">
      <c r="A1" s="39" t="s">
        <v>20</v>
      </c>
      <c r="B1" s="40" t="s">
        <v>140</v>
      </c>
      <c r="C1" s="40" t="s">
        <v>141</v>
      </c>
      <c r="D1" s="40" t="s">
        <v>142</v>
      </c>
      <c r="E1" s="40" t="s">
        <v>143</v>
      </c>
      <c r="F1" s="40" t="s">
        <v>144</v>
      </c>
      <c r="G1" s="40" t="s">
        <v>145</v>
      </c>
      <c r="H1" s="40" t="s">
        <v>146</v>
      </c>
      <c r="I1" s="40" t="s">
        <v>147</v>
      </c>
      <c r="J1" s="40" t="s">
        <v>148</v>
      </c>
      <c r="K1" s="40" t="s">
        <v>149</v>
      </c>
      <c r="L1" s="40" t="s">
        <v>150</v>
      </c>
      <c r="M1" s="40" t="s">
        <v>151</v>
      </c>
      <c r="N1" s="40" t="s">
        <v>152</v>
      </c>
    </row>
    <row r="2" spans="1:15" customFormat="1" ht="7.5" customHeight="1">
      <c r="A2" s="44"/>
      <c r="B2" s="45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2"/>
    </row>
    <row r="3" spans="1:15">
      <c r="A3" s="41" t="s">
        <v>0</v>
      </c>
      <c r="B3" s="50">
        <f>'Hypothèses CDR'!$B$3*'Hypothèses CDR'!C3</f>
        <v>1623.92962643241</v>
      </c>
      <c r="C3" s="50">
        <f>'Hypothèses CDR'!$B$3*'Hypothèses CDR'!D3</f>
        <v>1942.3506871832471</v>
      </c>
      <c r="D3" s="50">
        <f>'Hypothèses CDR'!$B$3*'Hypothèses CDR'!E3</f>
        <v>1880.9825771886292</v>
      </c>
      <c r="E3" s="50">
        <f>'Hypothèses CDR'!$B$3*'Hypothèses CDR'!F3</f>
        <v>1923.9373996471643</v>
      </c>
      <c r="F3" s="50">
        <f>'Hypothèses CDR'!$B$3*'Hypothèses CDR'!G3</f>
        <v>1375.658651494645</v>
      </c>
      <c r="G3" s="50">
        <f>'Hypothèses CDR'!$B$3*'Hypothèses CDR'!H3</f>
        <v>2260.64611648959</v>
      </c>
      <c r="H3" s="50">
        <f>'Hypothèses CDR'!$B$3*'Hypothèses CDR'!I3</f>
        <v>2355.0153262402137</v>
      </c>
      <c r="I3" s="50">
        <f>'Hypothèses CDR'!$B$3*'Hypothèses CDR'!J3</f>
        <v>2140.0352708967439</v>
      </c>
      <c r="J3" s="50">
        <f>'Hypothèses CDR'!$B$3*'Hypothèses CDR'!K3</f>
        <v>2750.6517147652971</v>
      </c>
      <c r="K3" s="50">
        <f>'Hypothèses CDR'!$B$3*'Hypothèses CDR'!L3</f>
        <v>2238.0233070547119</v>
      </c>
      <c r="L3" s="50">
        <f>'Hypothèses CDR'!$B$3*'Hypothèses CDR'!M3</f>
        <v>1268.5107795264744</v>
      </c>
      <c r="M3" s="50">
        <f>'Hypothèses CDR'!$B$3*'Hypothèses CDR'!N3</f>
        <v>5009.1585430808709</v>
      </c>
      <c r="N3" s="50">
        <f>SUM(B3:M3)</f>
        <v>26768.899999999994</v>
      </c>
    </row>
    <row r="4" spans="1:15" hidden="1" outlineLevel="1">
      <c r="A4" s="168" t="s">
        <v>83</v>
      </c>
      <c r="B4" s="42">
        <f>+'Hypothèses CDR'!$B$4*'Hypothèses CDR'!C3</f>
        <v>0</v>
      </c>
      <c r="C4" s="42">
        <f>+'Hypothèses CDR'!$B$4*'Hypothèses CDR'!D3</f>
        <v>0</v>
      </c>
      <c r="D4" s="42">
        <f>+'Hypothèses CDR'!$B$4*'Hypothèses CDR'!E3</f>
        <v>0</v>
      </c>
      <c r="E4" s="42">
        <f>+'Hypothèses CDR'!$B$4*'Hypothèses CDR'!F3</f>
        <v>0</v>
      </c>
      <c r="F4" s="42">
        <f>+'Hypothèses CDR'!$B$4*'Hypothèses CDR'!G3</f>
        <v>0</v>
      </c>
      <c r="G4" s="42">
        <f>+'Hypothèses CDR'!$B$4*'Hypothèses CDR'!H3</f>
        <v>0</v>
      </c>
      <c r="H4" s="42">
        <f>+'Hypothèses CDR'!$B$4*'Hypothèses CDR'!I3</f>
        <v>0</v>
      </c>
      <c r="I4" s="42">
        <f>+'Hypothèses CDR'!$B$4*'Hypothèses CDR'!J3</f>
        <v>0</v>
      </c>
      <c r="J4" s="42">
        <f>+'Hypothèses CDR'!$B$4*'Hypothèses CDR'!K3</f>
        <v>0</v>
      </c>
      <c r="K4" s="42">
        <f>+'Hypothèses CDR'!$B$4*'Hypothèses CDR'!L3</f>
        <v>0</v>
      </c>
      <c r="L4" s="42">
        <f>+'Hypothèses CDR'!$B$4*'Hypothèses CDR'!M3</f>
        <v>0</v>
      </c>
      <c r="M4" s="42">
        <f>+'Hypothèses CDR'!$B$4*'Hypothèses CDR'!N3</f>
        <v>0</v>
      </c>
      <c r="N4" s="42">
        <f t="shared" ref="N4:N35" si="0">SUM(B4:M4)</f>
        <v>0</v>
      </c>
    </row>
    <row r="5" spans="1:15" hidden="1" outlineLevel="1">
      <c r="A5" s="168" t="s">
        <v>137</v>
      </c>
      <c r="B5" s="42">
        <f>+'Hypothèses CDR'!$B$5*'Hypothèses CDR'!C3</f>
        <v>0</v>
      </c>
      <c r="C5" s="42">
        <f>+'Hypothèses CDR'!$B$5*'Hypothèses CDR'!D3</f>
        <v>0</v>
      </c>
      <c r="D5" s="42">
        <f>+'Hypothèses CDR'!$B$5*'Hypothèses CDR'!E3</f>
        <v>0</v>
      </c>
      <c r="E5" s="42">
        <f>+'Hypothèses CDR'!$B$5*'Hypothèses CDR'!F3</f>
        <v>0</v>
      </c>
      <c r="F5" s="42">
        <f>+'Hypothèses CDR'!$B$5*'Hypothèses CDR'!G3</f>
        <v>0</v>
      </c>
      <c r="G5" s="42">
        <f>+'Hypothèses CDR'!$B$5*'Hypothèses CDR'!H3</f>
        <v>0</v>
      </c>
      <c r="H5" s="42">
        <f>+'Hypothèses CDR'!$B$5*'Hypothèses CDR'!I3</f>
        <v>0</v>
      </c>
      <c r="I5" s="42">
        <f>+'Hypothèses CDR'!$B$5*'Hypothèses CDR'!J3</f>
        <v>0</v>
      </c>
      <c r="J5" s="42">
        <f>+'Hypothèses CDR'!$B$5*'Hypothèses CDR'!K3</f>
        <v>0</v>
      </c>
      <c r="K5" s="42">
        <f>+'Hypothèses CDR'!$B$5*'Hypothèses CDR'!L3</f>
        <v>0</v>
      </c>
      <c r="L5" s="42">
        <f>+'Hypothèses CDR'!$B$5*'Hypothèses CDR'!M3</f>
        <v>0</v>
      </c>
      <c r="M5" s="42">
        <f>+'Hypothèses CDR'!$B$5*'Hypothèses CDR'!N3</f>
        <v>0</v>
      </c>
      <c r="N5" s="42">
        <f t="shared" si="0"/>
        <v>0</v>
      </c>
    </row>
    <row r="6" spans="1:15" customFormat="1" ht="7.5" customHeight="1" collapsed="1">
      <c r="A6" s="44"/>
      <c r="B6" s="45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2"/>
    </row>
    <row r="7" spans="1:15">
      <c r="A7" s="46" t="s">
        <v>1</v>
      </c>
      <c r="B7" s="47">
        <f>+B3</f>
        <v>1623.92962643241</v>
      </c>
      <c r="C7" s="47">
        <f t="shared" ref="C7:M7" si="1">+C3</f>
        <v>1942.3506871832471</v>
      </c>
      <c r="D7" s="47">
        <f t="shared" si="1"/>
        <v>1880.9825771886292</v>
      </c>
      <c r="E7" s="47">
        <f t="shared" si="1"/>
        <v>1923.9373996471643</v>
      </c>
      <c r="F7" s="47">
        <f t="shared" si="1"/>
        <v>1375.658651494645</v>
      </c>
      <c r="G7" s="47">
        <f t="shared" si="1"/>
        <v>2260.64611648959</v>
      </c>
      <c r="H7" s="47">
        <f t="shared" si="1"/>
        <v>2355.0153262402137</v>
      </c>
      <c r="I7" s="47">
        <f t="shared" si="1"/>
        <v>2140.0352708967439</v>
      </c>
      <c r="J7" s="47">
        <f t="shared" si="1"/>
        <v>2750.6517147652971</v>
      </c>
      <c r="K7" s="47">
        <f t="shared" si="1"/>
        <v>2238.0233070547119</v>
      </c>
      <c r="L7" s="47">
        <f t="shared" si="1"/>
        <v>1268.5107795264744</v>
      </c>
      <c r="M7" s="47">
        <f t="shared" si="1"/>
        <v>5009.1585430808709</v>
      </c>
      <c r="N7" s="47">
        <f t="shared" si="0"/>
        <v>26768.899999999994</v>
      </c>
    </row>
    <row r="8" spans="1:15" customFormat="1" ht="3.5" customHeight="1">
      <c r="A8" s="44"/>
      <c r="B8" s="45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>
        <f t="shared" si="0"/>
        <v>0</v>
      </c>
      <c r="O8" s="2"/>
    </row>
    <row r="9" spans="1:15">
      <c r="A9" s="49" t="s">
        <v>2</v>
      </c>
      <c r="B9" s="169">
        <f>'Hypothèses CDR'!$B$9*'Hypothèses CDR'!C9</f>
        <v>0</v>
      </c>
      <c r="C9" s="50">
        <f>'Hypothèses CDR'!$B$9*'Hypothèses CDR'!D9</f>
        <v>-4.5</v>
      </c>
      <c r="D9" s="50">
        <f>'Hypothèses CDR'!$B$9*'Hypothèses CDR'!E9</f>
        <v>-4</v>
      </c>
      <c r="E9" s="169">
        <f>'Hypothèses CDR'!$B$9*'Hypothèses CDR'!F9</f>
        <v>0</v>
      </c>
      <c r="F9" s="50">
        <f>'Hypothèses CDR'!$B$9*'Hypothèses CDR'!G9</f>
        <v>-4.5</v>
      </c>
      <c r="G9" s="169">
        <f>'Hypothèses CDR'!$B$9*'Hypothèses CDR'!H9</f>
        <v>0</v>
      </c>
      <c r="H9" s="169">
        <f>'Hypothèses CDR'!$B$9*'Hypothèses CDR'!I9</f>
        <v>0</v>
      </c>
      <c r="I9" s="50">
        <f>'Hypothèses CDR'!$B$9*'Hypothèses CDR'!J9</f>
        <v>-4.5</v>
      </c>
      <c r="J9" s="50">
        <f>'Hypothèses CDR'!$B$9*'Hypothèses CDR'!K9</f>
        <v>-4</v>
      </c>
      <c r="K9" s="169">
        <f>'Hypothèses CDR'!$B$9*'Hypothèses CDR'!L9</f>
        <v>0</v>
      </c>
      <c r="L9" s="50">
        <f>'Hypothèses CDR'!$B$9*'Hypothèses CDR'!M9</f>
        <v>-45</v>
      </c>
      <c r="M9" s="169">
        <f>'Hypothèses CDR'!$B$9*'Hypothèses CDR'!N9</f>
        <v>0</v>
      </c>
      <c r="N9" s="50">
        <f t="shared" si="0"/>
        <v>-66.5</v>
      </c>
    </row>
    <row r="10" spans="1:15">
      <c r="A10" s="49" t="s">
        <v>93</v>
      </c>
      <c r="B10" s="50">
        <f>'Hypothèses CDR'!$B$10*'Hypothèses CDR'!C10</f>
        <v>-397.29858116939289</v>
      </c>
      <c r="C10" s="50">
        <f>'Hypothèses CDR'!$B$10*'Hypothèses CDR'!D10</f>
        <v>-401.71271810173408</v>
      </c>
      <c r="D10" s="50">
        <f>'Hypothèses CDR'!$B$10*'Hypothèses CDR'!E10</f>
        <v>-461.35462246911743</v>
      </c>
      <c r="E10" s="50">
        <f>'Hypothèses CDR'!$B$10*'Hypothèses CDR'!F10</f>
        <v>-505.52808399758936</v>
      </c>
      <c r="F10" s="50">
        <f>'Hypothèses CDR'!$B$10*'Hypothèses CDR'!G10</f>
        <v>-516.55905011866139</v>
      </c>
      <c r="G10" s="50">
        <f>'Hypothèses CDR'!$B$10*'Hypothèses CDR'!H10</f>
        <v>-549.7015455260613</v>
      </c>
      <c r="H10" s="50">
        <f>'Hypothèses CDR'!$B$10*'Hypothèses CDR'!I10</f>
        <v>-571.7868175537036</v>
      </c>
      <c r="I10" s="50">
        <f>'Hypothèses CDR'!$B$10*'Hypothèses CDR'!J10</f>
        <v>-604.90597317560525</v>
      </c>
      <c r="J10" s="50">
        <f>'Hypothèses CDR'!$B$10*'Hypothèses CDR'!K10</f>
        <v>-615.96027908217548</v>
      </c>
      <c r="K10" s="50">
        <f>'Hypothèses CDR'!$B$10*'Hypothèses CDR'!L10</f>
        <v>-638.04846858300505</v>
      </c>
      <c r="L10" s="50">
        <f>'Hypothèses CDR'!$B$10*'Hypothèses CDR'!M10</f>
        <v>-638.04846858300505</v>
      </c>
      <c r="M10" s="50">
        <f>'Hypothèses CDR'!$B$10*'Hypothèses CDR'!N10</f>
        <v>-726.39539163994903</v>
      </c>
      <c r="N10" s="50">
        <f t="shared" si="0"/>
        <v>-6627.3</v>
      </c>
    </row>
    <row r="11" spans="1:15">
      <c r="A11" s="49" t="s">
        <v>95</v>
      </c>
      <c r="B11" s="50">
        <f>'Hypothèses CDR'!$B$11*'Hypothèses CDR'!C11</f>
        <v>-267.94983625520246</v>
      </c>
      <c r="C11" s="50">
        <f>'Hypothèses CDR'!$B$11*'Hypothèses CDR'!D11</f>
        <v>-32.570879509282229</v>
      </c>
      <c r="D11" s="50">
        <f>'Hypothèses CDR'!$B$11*'Hypothèses CDR'!E11</f>
        <v>-610.17312266810143</v>
      </c>
      <c r="E11" s="50">
        <f>'Hypothèses CDR'!$B$11*'Hypothèses CDR'!F11</f>
        <v>-32.570879509282229</v>
      </c>
      <c r="F11" s="50">
        <f>'Hypothèses CDR'!$B$11*'Hypothèses CDR'!G11</f>
        <v>-32.570879509282229</v>
      </c>
      <c r="G11" s="50">
        <f>'Hypothèses CDR'!$B$11*'Hypothèses CDR'!H11</f>
        <v>-293.85586358422387</v>
      </c>
      <c r="H11" s="50">
        <f>'Hypothèses CDR'!$B$11*'Hypothèses CDR'!I11</f>
        <v>-32.570879509282229</v>
      </c>
      <c r="I11" s="50">
        <f>'Hypothèses CDR'!$B$11*'Hypothèses CDR'!J11</f>
        <v>-32.570879509282229</v>
      </c>
      <c r="J11" s="50">
        <f>'Hypothèses CDR'!$B$11*'Hypothèses CDR'!K11</f>
        <v>-301.6107143742185</v>
      </c>
      <c r="K11" s="50">
        <f>'Hypothèses CDR'!$B$11*'Hypothèses CDR'!L11</f>
        <v>-32.570879509282229</v>
      </c>
      <c r="L11" s="50">
        <f>'Hypothèses CDR'!$B$11*'Hypothèses CDR'!M11</f>
        <v>-307.014306553278</v>
      </c>
      <c r="M11" s="50">
        <f>'Hypothèses CDR'!$B$11*'Hypothèses CDR'!N11</f>
        <v>-32.570879509282229</v>
      </c>
      <c r="N11" s="50">
        <f t="shared" si="0"/>
        <v>-2008.5999999999995</v>
      </c>
    </row>
    <row r="12" spans="1:15">
      <c r="A12" s="49" t="s">
        <v>3</v>
      </c>
      <c r="B12" s="50">
        <f>'Hypothèses CDR'!$B$12*'Hypothèses CDR'!C12</f>
        <v>-18</v>
      </c>
      <c r="C12" s="50">
        <f>'Hypothèses CDR'!$B$12*'Hypothèses CDR'!D12</f>
        <v>-18</v>
      </c>
      <c r="D12" s="50">
        <f>'Hypothèses CDR'!$B$12*'Hypothèses CDR'!E12</f>
        <v>-18</v>
      </c>
      <c r="E12" s="50">
        <f>'Hypothèses CDR'!$B$12*'Hypothèses CDR'!F12</f>
        <v>-18</v>
      </c>
      <c r="F12" s="50">
        <f>'Hypothèses CDR'!$B$12*'Hypothèses CDR'!G12</f>
        <v>-18</v>
      </c>
      <c r="G12" s="50">
        <f>'Hypothèses CDR'!$B$12*'Hypothèses CDR'!H12</f>
        <v>-18</v>
      </c>
      <c r="H12" s="50">
        <f>'Hypothèses CDR'!$B$12*'Hypothèses CDR'!I12</f>
        <v>-18</v>
      </c>
      <c r="I12" s="50">
        <f>'Hypothèses CDR'!$B$12*'Hypothèses CDR'!J12</f>
        <v>-14</v>
      </c>
      <c r="J12" s="50">
        <f>'Hypothèses CDR'!$B$12*'Hypothèses CDR'!K12</f>
        <v>-18</v>
      </c>
      <c r="K12" s="50">
        <f>'Hypothèses CDR'!$B$12*'Hypothèses CDR'!L12</f>
        <v>-18</v>
      </c>
      <c r="L12" s="50">
        <f>'Hypothèses CDR'!$B$12*'Hypothèses CDR'!M12</f>
        <v>-18</v>
      </c>
      <c r="M12" s="50">
        <f>'Hypothèses CDR'!$B$12*'Hypothèses CDR'!N12</f>
        <v>-18</v>
      </c>
      <c r="N12" s="50">
        <f t="shared" si="0"/>
        <v>-212</v>
      </c>
    </row>
    <row r="13" spans="1:15">
      <c r="A13" s="49" t="s">
        <v>4</v>
      </c>
      <c r="B13" s="50">
        <f>'Hypothèses CDR'!$B$13*'Hypothèses CDR'!C13</f>
        <v>-245.88113000000001</v>
      </c>
      <c r="C13" s="50">
        <f>'Hypothèses CDR'!$B$13*'Hypothèses CDR'!D13</f>
        <v>-120.05189999999997</v>
      </c>
      <c r="D13" s="50">
        <f>'Hypothèses CDR'!$B$13*'Hypothèses CDR'!E13</f>
        <v>-126.98482999999997</v>
      </c>
      <c r="E13" s="50">
        <f>'Hypothèses CDR'!$B$13*'Hypothèses CDR'!F13</f>
        <v>-244.94243</v>
      </c>
      <c r="F13" s="50">
        <f>'Hypothèses CDR'!$B$13*'Hypothèses CDR'!G13</f>
        <v>-118.98703999999999</v>
      </c>
      <c r="G13" s="50">
        <f>'Hypothèses CDR'!$B$13*'Hypothèses CDR'!H13</f>
        <v>-126.04612999999999</v>
      </c>
      <c r="H13" s="50">
        <f>'Hypothèses CDR'!$B$13*'Hypothèses CDR'!I13</f>
        <v>-243.82396999999997</v>
      </c>
      <c r="I13" s="50">
        <f>'Hypothèses CDR'!$B$13*'Hypothèses CDR'!J13</f>
        <v>-115.86284999999999</v>
      </c>
      <c r="J13" s="50">
        <f>'Hypothèses CDR'!$B$13*'Hypothèses CDR'!K13</f>
        <v>-121.97358999999997</v>
      </c>
      <c r="K13" s="50">
        <f>'Hypothèses CDR'!$B$13*'Hypothèses CDR'!L13</f>
        <v>-243.82396999999997</v>
      </c>
      <c r="L13" s="50">
        <f>'Hypothèses CDR'!$B$13*'Hypothèses CDR'!M13</f>
        <v>-111.80542</v>
      </c>
      <c r="M13" s="50">
        <f>'Hypothèses CDR'!$B$13*'Hypothèses CDR'!N13</f>
        <v>-113.08224999999997</v>
      </c>
      <c r="N13" s="50">
        <f t="shared" si="0"/>
        <v>-1933.2655099999997</v>
      </c>
    </row>
    <row r="14" spans="1:15">
      <c r="A14" s="49" t="s">
        <v>5</v>
      </c>
      <c r="B14" s="50">
        <f>'Hypothèses CDR'!$B$14*'Hypothèses CDR'!C14</f>
        <v>-3.0917579837194742</v>
      </c>
      <c r="C14" s="50">
        <f>'Hypothèses CDR'!$B$14*'Hypothèses CDR'!D14</f>
        <v>-3.0917579837194742</v>
      </c>
      <c r="D14" s="50">
        <f>'Hypothèses CDR'!$B$14*'Hypothèses CDR'!E14</f>
        <v>-6.591484032561052</v>
      </c>
      <c r="E14" s="50">
        <f>'Hypothèses CDR'!$B$14*'Hypothèses CDR'!F14</f>
        <v>-3.0917579837194742</v>
      </c>
      <c r="F14" s="50">
        <f>'Hypothèses CDR'!$B$14*'Hypothèses CDR'!G14</f>
        <v>-3.0917579837194742</v>
      </c>
      <c r="G14" s="50">
        <f>'Hypothèses CDR'!$B$14*'Hypothèses CDR'!H14</f>
        <v>-6.591484032561052</v>
      </c>
      <c r="H14" s="50">
        <f>'Hypothèses CDR'!$B$14*'Hypothèses CDR'!I14</f>
        <v>-3.0917579837194742</v>
      </c>
      <c r="I14" s="50">
        <f>'Hypothèses CDR'!$B$14*'Hypothèses CDR'!J14</f>
        <v>-3.0917579837194742</v>
      </c>
      <c r="J14" s="50">
        <f>'Hypothèses CDR'!$B$14*'Hypothèses CDR'!K14</f>
        <v>-6.591484032561052</v>
      </c>
      <c r="K14" s="50">
        <f>'Hypothèses CDR'!$B$14*'Hypothèses CDR'!L14</f>
        <v>-3.0917579837194742</v>
      </c>
      <c r="L14" s="50">
        <f>'Hypothèses CDR'!$B$14*'Hypothèses CDR'!M14</f>
        <v>-3.0917579837194742</v>
      </c>
      <c r="M14" s="50">
        <f>'Hypothèses CDR'!$B$14*'Hypothèses CDR'!N14</f>
        <v>-6.591484032561052</v>
      </c>
      <c r="N14" s="50">
        <f t="shared" si="0"/>
        <v>-51.100000000000009</v>
      </c>
    </row>
    <row r="15" spans="1:15">
      <c r="A15" s="49" t="s">
        <v>6</v>
      </c>
      <c r="B15" s="50">
        <f>'Hypothèses CDR'!$B$15*'Hypothèses CDR'!C15</f>
        <v>-1.5</v>
      </c>
      <c r="C15" s="50">
        <f>'Hypothèses CDR'!$B$15*'Hypothèses CDR'!D15</f>
        <v>-1.5</v>
      </c>
      <c r="D15" s="50">
        <f>'Hypothèses CDR'!$B$15*'Hypothèses CDR'!E15</f>
        <v>-3.3</v>
      </c>
      <c r="E15" s="50">
        <f>'Hypothèses CDR'!$B$15*'Hypothèses CDR'!F15</f>
        <v>-0.5</v>
      </c>
      <c r="F15" s="50">
        <f>'Hypothèses CDR'!$B$15*'Hypothèses CDR'!G15</f>
        <v>-0.5</v>
      </c>
      <c r="G15" s="50">
        <f>'Hypothèses CDR'!$B$15*'Hypothèses CDR'!H15</f>
        <v>-1.8</v>
      </c>
      <c r="H15" s="169">
        <f>'Hypothèses CDR'!$B$15*'Hypothèses CDR'!I15</f>
        <v>0</v>
      </c>
      <c r="I15" s="169">
        <f>'Hypothèses CDR'!$B$15*'Hypothèses CDR'!J15</f>
        <v>0</v>
      </c>
      <c r="J15" s="50">
        <f>'Hypothèses CDR'!$B$15*'Hypothèses CDR'!K15</f>
        <v>-2.2999999999999998</v>
      </c>
      <c r="K15" s="50">
        <f>'Hypothèses CDR'!$B$15*'Hypothèses CDR'!L15</f>
        <v>-0.5</v>
      </c>
      <c r="L15" s="50">
        <f>'Hypothèses CDR'!$B$15*'Hypothèses CDR'!M15</f>
        <v>-1.5</v>
      </c>
      <c r="M15" s="50">
        <f>'Hypothèses CDR'!$B$15*'Hypothèses CDR'!N15</f>
        <v>-3.3</v>
      </c>
      <c r="N15" s="50">
        <f t="shared" si="0"/>
        <v>-16.7</v>
      </c>
    </row>
    <row r="16" spans="1:15">
      <c r="A16" s="49" t="s">
        <v>7</v>
      </c>
      <c r="B16" s="50">
        <f>'Hypothèses CDR'!$B$16*'Hypothèses CDR'!C16</f>
        <v>-28.549999999999997</v>
      </c>
      <c r="C16" s="50">
        <f>'Hypothèses CDR'!$B$16*'Hypothèses CDR'!D16</f>
        <v>-20</v>
      </c>
      <c r="D16" s="169">
        <f>'Hypothèses CDR'!$B$16*'Hypothèses CDR'!E16</f>
        <v>0</v>
      </c>
      <c r="E16" s="50">
        <f>'Hypothèses CDR'!$B$16*'Hypothèses CDR'!F16</f>
        <v>-28.549999999999997</v>
      </c>
      <c r="F16" s="169">
        <f>'Hypothèses CDR'!$B$16*'Hypothèses CDR'!G16</f>
        <v>0</v>
      </c>
      <c r="G16" s="169">
        <f>'Hypothèses CDR'!$B$16*'Hypothèses CDR'!H16</f>
        <v>0</v>
      </c>
      <c r="H16" s="50">
        <f>'Hypothèses CDR'!$B$16*'Hypothèses CDR'!I16</f>
        <v>-28.549999999999997</v>
      </c>
      <c r="I16" s="169">
        <f>'Hypothèses CDR'!$B$16*'Hypothèses CDR'!J16</f>
        <v>0</v>
      </c>
      <c r="J16" s="50">
        <f>'Hypothèses CDR'!$B$16*'Hypothèses CDR'!K16</f>
        <v>-33</v>
      </c>
      <c r="K16" s="50">
        <f>'Hypothèses CDR'!$B$16*'Hypothèses CDR'!L16</f>
        <v>-28.549999999999997</v>
      </c>
      <c r="L16" s="169">
        <f>'Hypothèses CDR'!$B$16*'Hypothèses CDR'!M16</f>
        <v>0</v>
      </c>
      <c r="M16" s="169">
        <f>'Hypothèses CDR'!$B$16*'Hypothèses CDR'!N16</f>
        <v>0</v>
      </c>
      <c r="N16" s="50">
        <f t="shared" si="0"/>
        <v>-167.2</v>
      </c>
    </row>
    <row r="17" spans="1:15">
      <c r="A17" s="49" t="s">
        <v>8</v>
      </c>
      <c r="B17" s="169">
        <f>'Hypothèses CDR'!$B$17*'Hypothèses CDR'!C17</f>
        <v>0</v>
      </c>
      <c r="C17" s="169">
        <f>'Hypothèses CDR'!$B$17*'Hypothèses CDR'!D17</f>
        <v>0</v>
      </c>
      <c r="D17" s="50">
        <f>'Hypothèses CDR'!$B$17*'Hypothèses CDR'!E17</f>
        <v>-0.5</v>
      </c>
      <c r="E17" s="50">
        <f>'Hypothèses CDR'!$B$17*'Hypothèses CDR'!F17</f>
        <v>-0.5</v>
      </c>
      <c r="F17" s="50">
        <f>'Hypothèses CDR'!$B$17*'Hypothèses CDR'!G17</f>
        <v>-0.5</v>
      </c>
      <c r="G17" s="50">
        <f>'Hypothèses CDR'!$B$17*'Hypothèses CDR'!H17</f>
        <v>-0.5</v>
      </c>
      <c r="H17" s="50">
        <f>'Hypothèses CDR'!$B$17*'Hypothèses CDR'!I17</f>
        <v>-0.5</v>
      </c>
      <c r="I17" s="50">
        <f>'Hypothèses CDR'!$B$17*'Hypothèses CDR'!J17</f>
        <v>-0.5</v>
      </c>
      <c r="J17" s="50">
        <f>'Hypothèses CDR'!$B$17*'Hypothèses CDR'!K17</f>
        <v>-0.5</v>
      </c>
      <c r="K17" s="50">
        <f>'Hypothèses CDR'!$B$17*'Hypothèses CDR'!L17</f>
        <v>-0.5</v>
      </c>
      <c r="L17" s="50">
        <f>'Hypothèses CDR'!$B$17*'Hypothèses CDR'!M17</f>
        <v>-0.5</v>
      </c>
      <c r="M17" s="50">
        <f>'Hypothèses CDR'!$B$17*'Hypothèses CDR'!N17</f>
        <v>-0.5</v>
      </c>
      <c r="N17" s="50">
        <f t="shared" si="0"/>
        <v>-5</v>
      </c>
    </row>
    <row r="18" spans="1:15">
      <c r="A18" s="49" t="s">
        <v>9</v>
      </c>
      <c r="B18" s="50">
        <f>'Hypothèses CDR'!$B$18*'Hypothèses CDR'!C18</f>
        <v>-23.898210927846133</v>
      </c>
      <c r="C18" s="50">
        <f>'Hypothèses CDR'!$B$18*'Hypothèses CDR'!D18</f>
        <v>-53.82084564551657</v>
      </c>
      <c r="D18" s="50">
        <f>'Hypothèses CDR'!$B$18*'Hypothèses CDR'!E18</f>
        <v>-53.82084564551657</v>
      </c>
      <c r="E18" s="50">
        <f>'Hypothèses CDR'!$B$18*'Hypothèses CDR'!F18</f>
        <v>-53.82084564551657</v>
      </c>
      <c r="F18" s="50">
        <f>'Hypothèses CDR'!$B$18*'Hypothèses CDR'!G18</f>
        <v>-110.67385160909042</v>
      </c>
      <c r="G18" s="50">
        <f>'Hypothèses CDR'!$B$18*'Hypothèses CDR'!H18</f>
        <v>-53.82084564551657</v>
      </c>
      <c r="H18" s="50">
        <f>'Hypothèses CDR'!$B$18*'Hypothèses CDR'!I18</f>
        <v>-53.82084564551657</v>
      </c>
      <c r="I18" s="50">
        <f>'Hypothèses CDR'!$B$18*'Hypothèses CDR'!J18</f>
        <v>-23.898210927846133</v>
      </c>
      <c r="J18" s="50">
        <f>'Hypothèses CDR'!$B$18*'Hypothèses CDR'!K18</f>
        <v>-23.898210927846133</v>
      </c>
      <c r="K18" s="50">
        <f>'Hypothèses CDR'!$B$18*'Hypothèses CDR'!L18</f>
        <v>-83.743480363187032</v>
      </c>
      <c r="L18" s="50">
        <f>'Hypothèses CDR'!$B$18*'Hypothèses CDR'!M18</f>
        <v>-103.69190350830065</v>
      </c>
      <c r="M18" s="50">
        <f>'Hypothèses CDR'!$B$18*'Hypothèses CDR'!N18</f>
        <v>-103.69190350830065</v>
      </c>
      <c r="N18" s="50">
        <f t="shared" si="0"/>
        <v>-742.60000000000014</v>
      </c>
    </row>
    <row r="19" spans="1:15">
      <c r="A19" s="49" t="s">
        <v>153</v>
      </c>
      <c r="B19" s="50">
        <f>'Hypothèses CDR'!$B$19*'Hypothèses CDR'!C19</f>
        <v>-101.58754927345805</v>
      </c>
      <c r="C19" s="50">
        <f>'Hypothèses CDR'!$B$19*'Hypothèses CDR'!D19</f>
        <v>-1.1218667877569952</v>
      </c>
      <c r="D19" s="50">
        <f>'Hypothèses CDR'!$B$19*'Hypothèses CDR'!E19</f>
        <v>-1.1218667877569952</v>
      </c>
      <c r="E19" s="50">
        <f>'Hypothèses CDR'!$B$19*'Hypothèses CDR'!F19</f>
        <v>-1.1218667877569952</v>
      </c>
      <c r="F19" s="50">
        <f>'Hypothèses CDR'!$B$19*'Hypothèses CDR'!G19</f>
        <v>-1.1218667877569952</v>
      </c>
      <c r="G19" s="50">
        <f>'Hypothèses CDR'!$B$19*'Hypothèses CDR'!H19</f>
        <v>-1.1218667877569952</v>
      </c>
      <c r="H19" s="50">
        <f>'Hypothèses CDR'!$B$19*'Hypothèses CDR'!I19</f>
        <v>-1.1218667877569952</v>
      </c>
      <c r="I19" s="50">
        <f>'Hypothèses CDR'!$B$19*'Hypothèses CDR'!J19</f>
        <v>-252.28607300200963</v>
      </c>
      <c r="J19" s="50">
        <f>'Hypothèses CDR'!$B$19*'Hypothèses CDR'!K19</f>
        <v>-1.1218667877569952</v>
      </c>
      <c r="K19" s="50">
        <f>'Hypothèses CDR'!$B$19*'Hypothèses CDR'!L19</f>
        <v>-685.12572171123838</v>
      </c>
      <c r="L19" s="50">
        <f>'Hypothèses CDR'!$B$19*'Hypothèses CDR'!M19</f>
        <v>-336.0074750734272</v>
      </c>
      <c r="M19" s="50">
        <f>'Hypothèses CDR'!$B$19*'Hypothèses CDR'!N19</f>
        <v>-350.24011342556815</v>
      </c>
      <c r="N19" s="50">
        <f t="shared" si="0"/>
        <v>-1733.1000000000004</v>
      </c>
    </row>
    <row r="20" spans="1:15">
      <c r="A20" s="49" t="s">
        <v>11</v>
      </c>
      <c r="B20" s="50">
        <f>'Hypothèses CDR'!$B$20*'Hypothèses CDR'!C20</f>
        <v>-105.46016544777808</v>
      </c>
      <c r="C20" s="50">
        <f>'Hypothèses CDR'!$B$20*'Hypothèses CDR'!D20</f>
        <v>-105.46016544777808</v>
      </c>
      <c r="D20" s="50">
        <f>'Hypothèses CDR'!$B$20*'Hypothèses CDR'!E20</f>
        <v>-105.46016544777808</v>
      </c>
      <c r="E20" s="50">
        <f>'Hypothèses CDR'!$B$20*'Hypothèses CDR'!F20</f>
        <v>-149.39576837311063</v>
      </c>
      <c r="F20" s="50">
        <f>'Hypothèses CDR'!$B$20*'Hypothèses CDR'!G20</f>
        <v>-149.39576837311063</v>
      </c>
      <c r="G20" s="50">
        <f>'Hypothèses CDR'!$B$20*'Hypothèses CDR'!H20</f>
        <v>-149.39576837311063</v>
      </c>
      <c r="H20" s="50">
        <f>'Hypothèses CDR'!$B$20*'Hypothèses CDR'!I20</f>
        <v>-105.46016544777808</v>
      </c>
      <c r="I20" s="50">
        <f>'Hypothèses CDR'!$B$20*'Hypothèses CDR'!J20</f>
        <v>-105.46016544777808</v>
      </c>
      <c r="J20" s="50">
        <f>'Hypothèses CDR'!$B$20*'Hypothèses CDR'!K20</f>
        <v>-149.39576837311063</v>
      </c>
      <c r="K20" s="50">
        <f>'Hypothèses CDR'!$B$20*'Hypothèses CDR'!L20</f>
        <v>-149.39576837311063</v>
      </c>
      <c r="L20" s="50">
        <f>'Hypothèses CDR'!$B$20*'Hypothèses CDR'!M20</f>
        <v>-105.46016544777808</v>
      </c>
      <c r="M20" s="50">
        <f>'Hypothèses CDR'!$B$20*'Hypothèses CDR'!N20</f>
        <v>-105.46016544777808</v>
      </c>
      <c r="N20" s="50">
        <f t="shared" si="0"/>
        <v>-1485.1999999999998</v>
      </c>
    </row>
    <row r="21" spans="1:15">
      <c r="A21" s="49" t="s">
        <v>154</v>
      </c>
      <c r="B21" s="50">
        <f>'Hypothèses CDR'!$B$21*'Hypothèses CDR'!C21</f>
        <v>-49.022122068226039</v>
      </c>
      <c r="C21" s="50">
        <f>'Hypothèses CDR'!$B$21*'Hypothèses CDR'!D21</f>
        <v>-38.84808896588698</v>
      </c>
      <c r="D21" s="50">
        <f>'Hypothèses CDR'!$B$21*'Hypothèses CDR'!E21</f>
        <v>-38.84808896588698</v>
      </c>
      <c r="E21" s="50">
        <f>'Hypothèses CDR'!$B$21*'Hypothèses CDR'!F21</f>
        <v>-49.022122068226039</v>
      </c>
      <c r="F21" s="50">
        <f>'Hypothèses CDR'!$B$21*'Hypothèses CDR'!G21</f>
        <v>-38.84808896588698</v>
      </c>
      <c r="G21" s="50">
        <f>'Hypothèses CDR'!$B$21*'Hypothèses CDR'!H21</f>
        <v>-38.84808896588698</v>
      </c>
      <c r="H21" s="50">
        <f>'Hypothèses CDR'!$B$21*'Hypothèses CDR'!I21</f>
        <v>-49.022122068226039</v>
      </c>
      <c r="I21" s="50">
        <f>'Hypothèses CDR'!$B$21*'Hypothèses CDR'!J21</f>
        <v>-38.84808896588698</v>
      </c>
      <c r="J21" s="50">
        <f>'Hypothèses CDR'!$B$21*'Hypothèses CDR'!K21</f>
        <v>-38.84808896588698</v>
      </c>
      <c r="K21" s="50">
        <f>'Hypothèses CDR'!$B$21*'Hypothèses CDR'!L21</f>
        <v>-49.022122068226039</v>
      </c>
      <c r="L21" s="50">
        <f>'Hypothèses CDR'!$B$21*'Hypothèses CDR'!M21</f>
        <v>-38.84808896588698</v>
      </c>
      <c r="M21" s="50">
        <f>'Hypothèses CDR'!$B$21*'Hypothèses CDR'!N21</f>
        <v>-38.84808896588698</v>
      </c>
      <c r="N21" s="50">
        <f t="shared" si="0"/>
        <v>-506.8732</v>
      </c>
    </row>
    <row r="22" spans="1:15">
      <c r="A22" s="49" t="s">
        <v>13</v>
      </c>
      <c r="B22" s="50">
        <f>'Hypothèses CDR'!$B$22*'Hypothèses CDR'!C22</f>
        <v>-20.566767023550977</v>
      </c>
      <c r="C22" s="50">
        <f>'Hypothèses CDR'!$B$22*'Hypothèses CDR'!D22</f>
        <v>-20.566767023550977</v>
      </c>
      <c r="D22" s="50">
        <f>'Hypothèses CDR'!$B$22*'Hypothèses CDR'!E22</f>
        <v>-21.766315417571597</v>
      </c>
      <c r="E22" s="50">
        <f>'Hypothèses CDR'!$B$22*'Hypothèses CDR'!F22</f>
        <v>-20.566767023550977</v>
      </c>
      <c r="F22" s="50">
        <f>'Hypothèses CDR'!$B$22*'Hypothèses CDR'!G22</f>
        <v>-20.566767023550977</v>
      </c>
      <c r="G22" s="50">
        <f>'Hypothèses CDR'!$B$22*'Hypothèses CDR'!H22</f>
        <v>-20.566767023550977</v>
      </c>
      <c r="H22" s="50">
        <f>'Hypothèses CDR'!$B$22*'Hypothèses CDR'!I22</f>
        <v>-20.566767023550977</v>
      </c>
      <c r="I22" s="50">
        <f>'Hypothèses CDR'!$B$22*'Hypothèses CDR'!J22</f>
        <v>-20.566767023550977</v>
      </c>
      <c r="J22" s="50">
        <f>'Hypothèses CDR'!$B$22*'Hypothèses CDR'!K22</f>
        <v>-20.566767023550977</v>
      </c>
      <c r="K22" s="50">
        <f>'Hypothèses CDR'!$B$22*'Hypothèses CDR'!L22</f>
        <v>-20.566767023550977</v>
      </c>
      <c r="L22" s="50">
        <f>'Hypothèses CDR'!$B$22*'Hypothèses CDR'!M22</f>
        <v>-22.566014346918674</v>
      </c>
      <c r="M22" s="50">
        <f>'Hypothèses CDR'!$B$22*'Hypothèses CDR'!N22</f>
        <v>-20.566767023550977</v>
      </c>
      <c r="N22" s="50">
        <f t="shared" si="0"/>
        <v>-250</v>
      </c>
    </row>
    <row r="23" spans="1:15">
      <c r="A23" s="49" t="s">
        <v>14</v>
      </c>
      <c r="B23" s="50">
        <f>'Hypothèses CDR'!$B$23*'Hypothèses CDR'!C23</f>
        <v>-4</v>
      </c>
      <c r="C23" s="50">
        <f>'Hypothèses CDR'!$B$23*'Hypothèses CDR'!D23</f>
        <v>-4</v>
      </c>
      <c r="D23" s="50">
        <f>'Hypothèses CDR'!$B$23*'Hypothèses CDR'!E23</f>
        <v>-4</v>
      </c>
      <c r="E23" s="50">
        <f>'Hypothèses CDR'!$B$23*'Hypothèses CDR'!F23</f>
        <v>-4</v>
      </c>
      <c r="F23" s="50">
        <f>'Hypothèses CDR'!$B$23*'Hypothèses CDR'!G23</f>
        <v>-4</v>
      </c>
      <c r="G23" s="50">
        <f>'Hypothèses CDR'!$B$23*'Hypothèses CDR'!H23</f>
        <v>-4</v>
      </c>
      <c r="H23" s="50">
        <f>'Hypothèses CDR'!$B$23*'Hypothèses CDR'!I23</f>
        <v>-4</v>
      </c>
      <c r="I23" s="50">
        <f>'Hypothèses CDR'!$B$23*'Hypothèses CDR'!J23</f>
        <v>-4</v>
      </c>
      <c r="J23" s="50">
        <f>'Hypothèses CDR'!$B$23*'Hypothèses CDR'!K23</f>
        <v>-4</v>
      </c>
      <c r="K23" s="50">
        <f>'Hypothèses CDR'!$B$23*'Hypothèses CDR'!L23</f>
        <v>-4</v>
      </c>
      <c r="L23" s="50">
        <f>'Hypothèses CDR'!$B$23*'Hypothèses CDR'!M23</f>
        <v>-4</v>
      </c>
      <c r="M23" s="50">
        <f>'Hypothèses CDR'!$B$23*'Hypothèses CDR'!N23</f>
        <v>-4</v>
      </c>
      <c r="N23" s="50">
        <f t="shared" si="0"/>
        <v>-48</v>
      </c>
    </row>
    <row r="24" spans="1:15">
      <c r="A24" s="49" t="s">
        <v>15</v>
      </c>
      <c r="B24" s="169">
        <f>'Hypothèses CDR'!$B$24*'Hypothèses CDR'!C24</f>
        <v>0</v>
      </c>
      <c r="C24" s="50">
        <f>'Hypothèses CDR'!$B$24*'Hypothèses CDR'!D24</f>
        <v>-115.00000000000001</v>
      </c>
      <c r="D24" s="50">
        <f>'Hypothèses CDR'!$B$24*'Hypothèses CDR'!E24</f>
        <v>-1</v>
      </c>
      <c r="E24" s="169">
        <f>'Hypothèses CDR'!$B$24*'Hypothèses CDR'!F24</f>
        <v>0</v>
      </c>
      <c r="F24" s="50">
        <f>'Hypothèses CDR'!$B$24*'Hypothèses CDR'!G24</f>
        <v>-53.999999999999993</v>
      </c>
      <c r="G24" s="50">
        <f>'Hypothèses CDR'!$B$24*'Hypothèses CDR'!H24</f>
        <v>-70</v>
      </c>
      <c r="H24" s="169">
        <f>'Hypothèses CDR'!$B$24*'Hypothèses CDR'!I24</f>
        <v>0</v>
      </c>
      <c r="I24" s="169">
        <f>'Hypothèses CDR'!$B$24*'Hypothèses CDR'!J24</f>
        <v>0</v>
      </c>
      <c r="J24" s="50">
        <f>'Hypothèses CDR'!$B$24*'Hypothèses CDR'!K24</f>
        <v>-70</v>
      </c>
      <c r="K24" s="169">
        <f>'Hypothèses CDR'!$B$24*'Hypothèses CDR'!L24</f>
        <v>0</v>
      </c>
      <c r="L24" s="50">
        <f>'Hypothèses CDR'!$B$24*'Hypothèses CDR'!M24</f>
        <v>-94</v>
      </c>
      <c r="M24" s="50">
        <f>'Hypothèses CDR'!$B$24*'Hypothèses CDR'!N24</f>
        <v>-16</v>
      </c>
      <c r="N24" s="50">
        <f t="shared" si="0"/>
        <v>-420</v>
      </c>
    </row>
    <row r="25" spans="1:15">
      <c r="A25" s="49" t="s">
        <v>16</v>
      </c>
      <c r="B25" s="50">
        <f>'Hypothèses CDR'!$B$25*'Hypothèses CDR'!C25</f>
        <v>-440.54969574036511</v>
      </c>
      <c r="C25" s="50">
        <f>'Hypothèses CDR'!$B$25*'Hypothèses CDR'!D25</f>
        <v>-440.54969574036511</v>
      </c>
      <c r="D25" s="50">
        <f>'Hypothèses CDR'!$B$25*'Hypothèses CDR'!E25</f>
        <v>-440.54969574036511</v>
      </c>
      <c r="E25" s="50">
        <f>'Hypothèses CDR'!$B$25*'Hypothèses CDR'!F25</f>
        <v>-440.54969574036511</v>
      </c>
      <c r="F25" s="50">
        <f>'Hypothèses CDR'!$B$25*'Hypothèses CDR'!G25</f>
        <v>-440.54969574036511</v>
      </c>
      <c r="G25" s="50">
        <f>'Hypothèses CDR'!$B$25*'Hypothèses CDR'!H25</f>
        <v>-677.7687626774848</v>
      </c>
      <c r="H25" s="50">
        <f>'Hypothèses CDR'!$B$25*'Hypothèses CDR'!I25</f>
        <v>-440.54969574036511</v>
      </c>
      <c r="I25" s="50">
        <f>'Hypothèses CDR'!$B$25*'Hypothèses CDR'!J25</f>
        <v>-440.54969574036511</v>
      </c>
      <c r="J25" s="50">
        <f>'Hypothèses CDR'!$B$25*'Hypothèses CDR'!K25</f>
        <v>-440.54969574036511</v>
      </c>
      <c r="K25" s="50">
        <f>'Hypothèses CDR'!$B$25*'Hypothèses CDR'!L25</f>
        <v>-440.54969574036511</v>
      </c>
      <c r="L25" s="50">
        <f>'Hypothèses CDR'!$B$25*'Hypothèses CDR'!M25</f>
        <v>-440.54969574036511</v>
      </c>
      <c r="M25" s="50">
        <f>'Hypothèses CDR'!$B$25*'Hypothèses CDR'!N25</f>
        <v>-677.7687626774848</v>
      </c>
      <c r="N25" s="50">
        <f t="shared" si="0"/>
        <v>-5761.0344827586205</v>
      </c>
    </row>
    <row r="26" spans="1:15">
      <c r="A26" s="49" t="s">
        <v>17</v>
      </c>
      <c r="B26" s="50">
        <f>'Hypothèses CDR'!$B$26*'Hypothèses CDR'!C26</f>
        <v>-198.24736308316434</v>
      </c>
      <c r="C26" s="50">
        <f>'Hypothèses CDR'!$B$26*'Hypothèses CDR'!D26</f>
        <v>-198.24736308316434</v>
      </c>
      <c r="D26" s="50">
        <f>'Hypothèses CDR'!$B$26*'Hypothèses CDR'!E26</f>
        <v>-198.24736308316434</v>
      </c>
      <c r="E26" s="50">
        <f>'Hypothèses CDR'!$B$26*'Hypothèses CDR'!F26</f>
        <v>-198.24736308316434</v>
      </c>
      <c r="F26" s="50">
        <f>'Hypothèses CDR'!$B$26*'Hypothèses CDR'!G26</f>
        <v>-198.24736308316434</v>
      </c>
      <c r="G26" s="50">
        <f>'Hypothèses CDR'!$B$26*'Hypothèses CDR'!H26</f>
        <v>-304.99594320486818</v>
      </c>
      <c r="H26" s="50">
        <f>'Hypothèses CDR'!$B$26*'Hypothèses CDR'!I26</f>
        <v>-198.24736308316434</v>
      </c>
      <c r="I26" s="50">
        <f>'Hypothèses CDR'!$B$26*'Hypothèses CDR'!J26</f>
        <v>-198.24736308316434</v>
      </c>
      <c r="J26" s="50">
        <f>'Hypothèses CDR'!$B$26*'Hypothèses CDR'!K26</f>
        <v>-198.24736308316434</v>
      </c>
      <c r="K26" s="50">
        <f>'Hypothèses CDR'!$B$26*'Hypothèses CDR'!L26</f>
        <v>-198.24736308316434</v>
      </c>
      <c r="L26" s="50">
        <f>'Hypothèses CDR'!$B$26*'Hypothèses CDR'!M26</f>
        <v>-198.24736308316434</v>
      </c>
      <c r="M26" s="50">
        <f>'Hypothèses CDR'!$B$26*'Hypothèses CDR'!N26</f>
        <v>-304.99594320486818</v>
      </c>
      <c r="N26" s="50">
        <f t="shared" si="0"/>
        <v>-2592.4655172413795</v>
      </c>
    </row>
    <row r="27" spans="1:15" customFormat="1" ht="3.5" customHeight="1">
      <c r="A27" s="44"/>
      <c r="B27" s="45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>
        <f t="shared" si="0"/>
        <v>0</v>
      </c>
      <c r="O27" s="2"/>
    </row>
    <row r="28" spans="1:15">
      <c r="A28" s="46" t="s">
        <v>18</v>
      </c>
      <c r="B28" s="47">
        <f>SUM(B8:B27)</f>
        <v>-1905.6031789727033</v>
      </c>
      <c r="C28" s="47">
        <f>SUM(C8:C27)</f>
        <v>-1579.0420482887548</v>
      </c>
      <c r="D28" s="47">
        <f t="shared" ref="D28:M28" si="2">SUM(D8:D27)</f>
        <v>-2095.7184002578192</v>
      </c>
      <c r="E28" s="47">
        <f t="shared" si="2"/>
        <v>-1750.4075802122818</v>
      </c>
      <c r="F28" s="47">
        <f t="shared" si="2"/>
        <v>-1712.1121291945885</v>
      </c>
      <c r="G28" s="47">
        <f t="shared" si="2"/>
        <v>-2317.0130658210214</v>
      </c>
      <c r="H28" s="47">
        <f t="shared" si="2"/>
        <v>-1771.1122508430633</v>
      </c>
      <c r="I28" s="47">
        <f t="shared" si="2"/>
        <v>-1859.2878248592081</v>
      </c>
      <c r="J28" s="47">
        <f t="shared" si="2"/>
        <v>-2050.563828390636</v>
      </c>
      <c r="K28" s="47">
        <f t="shared" si="2"/>
        <v>-2595.735994438849</v>
      </c>
      <c r="L28" s="47">
        <f t="shared" si="2"/>
        <v>-2468.330659285843</v>
      </c>
      <c r="M28" s="47">
        <f t="shared" si="2"/>
        <v>-2522.0117494352298</v>
      </c>
      <c r="N28" s="47">
        <f t="shared" si="0"/>
        <v>-24626.938709999999</v>
      </c>
    </row>
    <row r="29" spans="1:15" customFormat="1" ht="3.5" customHeight="1">
      <c r="A29" s="44"/>
      <c r="B29" s="45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>
        <f t="shared" si="0"/>
        <v>0</v>
      </c>
      <c r="O29" s="2"/>
    </row>
    <row r="30" spans="1:15">
      <c r="A30" s="53" t="s">
        <v>19</v>
      </c>
      <c r="B30" s="54">
        <f>+B7+B28</f>
        <v>-281.67355254029326</v>
      </c>
      <c r="C30" s="54">
        <f t="shared" ref="C30:L30" si="3">+C7+C28</f>
        <v>363.30863889449233</v>
      </c>
      <c r="D30" s="54">
        <f t="shared" si="3"/>
        <v>-214.73582306919002</v>
      </c>
      <c r="E30" s="54">
        <f t="shared" si="3"/>
        <v>173.52981943488248</v>
      </c>
      <c r="F30" s="54">
        <f t="shared" si="3"/>
        <v>-336.45347769994351</v>
      </c>
      <c r="G30" s="54">
        <f t="shared" si="3"/>
        <v>-56.366949331431442</v>
      </c>
      <c r="H30" s="54">
        <f t="shared" si="3"/>
        <v>583.90307539715036</v>
      </c>
      <c r="I30" s="54">
        <f t="shared" si="3"/>
        <v>280.74744603753584</v>
      </c>
      <c r="J30" s="54">
        <f t="shared" si="3"/>
        <v>700.08788637466114</v>
      </c>
      <c r="K30" s="54">
        <f t="shared" si="3"/>
        <v>-357.7126873841371</v>
      </c>
      <c r="L30" s="54">
        <f t="shared" si="3"/>
        <v>-1199.8198797593686</v>
      </c>
      <c r="M30" s="54">
        <f>+M7+M28</f>
        <v>2487.1467936456411</v>
      </c>
      <c r="N30" s="54">
        <f t="shared" si="0"/>
        <v>2141.9612899999993</v>
      </c>
    </row>
    <row r="31" spans="1:15" customFormat="1" ht="3.5" customHeight="1">
      <c r="A31" s="44"/>
      <c r="B31" s="45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>
        <f t="shared" si="0"/>
        <v>0</v>
      </c>
      <c r="O31" s="2"/>
    </row>
    <row r="32" spans="1:15">
      <c r="A32" s="49" t="s">
        <v>21</v>
      </c>
      <c r="B32" s="169">
        <f>'Hypothèses CDR'!$B$32*'Hypothèses CDR'!C32</f>
        <v>0</v>
      </c>
      <c r="C32" s="169">
        <f>'Hypothèses CDR'!$B$32*'Hypothèses CDR'!D32</f>
        <v>0</v>
      </c>
      <c r="D32" s="169">
        <f>'Hypothèses CDR'!$B$32*'Hypothèses CDR'!E32</f>
        <v>0</v>
      </c>
      <c r="E32" s="169">
        <f>'Hypothèses CDR'!$B$32*'Hypothèses CDR'!F32</f>
        <v>0</v>
      </c>
      <c r="F32" s="169">
        <f>'Hypothèses CDR'!$B$32*'Hypothèses CDR'!G32</f>
        <v>0</v>
      </c>
      <c r="G32" s="169">
        <f>'Hypothèses CDR'!$B$32*'Hypothèses CDR'!H32</f>
        <v>0</v>
      </c>
      <c r="H32" s="169">
        <f>'Hypothèses CDR'!$B$32*'Hypothèses CDR'!I32</f>
        <v>0</v>
      </c>
      <c r="I32" s="169">
        <f>'Hypothèses CDR'!$B$32*'Hypothèses CDR'!J32</f>
        <v>0</v>
      </c>
      <c r="J32" s="169">
        <f>'Hypothèses CDR'!$B$32*'Hypothèses CDR'!K32</f>
        <v>0</v>
      </c>
      <c r="K32" s="169">
        <f>'Hypothèses CDR'!$B$32*'Hypothèses CDR'!L32</f>
        <v>0</v>
      </c>
      <c r="L32" s="169">
        <f>'Hypothèses CDR'!$B$32*'Hypothèses CDR'!M32</f>
        <v>0</v>
      </c>
      <c r="M32" s="169">
        <f>'Hypothèses CDR'!$B$32*'Hypothèses CDR'!N32</f>
        <v>0</v>
      </c>
      <c r="N32" s="169">
        <f t="shared" si="0"/>
        <v>0</v>
      </c>
    </row>
    <row r="33" spans="1:15">
      <c r="A33" s="49" t="s">
        <v>155</v>
      </c>
      <c r="B33" s="50">
        <f>'Hypothèses CDR'!$B$33*'Hypothèses CDR'!C33</f>
        <v>-9.1666666666666661</v>
      </c>
      <c r="C33" s="50">
        <f>'Hypothèses CDR'!$B$33*'Hypothèses CDR'!D33</f>
        <v>-9.1666666666666661</v>
      </c>
      <c r="D33" s="50">
        <f>'Hypothèses CDR'!$B$33*'Hypothèses CDR'!E33</f>
        <v>-9.1666666666666661</v>
      </c>
      <c r="E33" s="50">
        <f>'Hypothèses CDR'!$B$33*'Hypothèses CDR'!F33</f>
        <v>-9.1666666666666661</v>
      </c>
      <c r="F33" s="50">
        <f>'Hypothèses CDR'!$B$33*'Hypothèses CDR'!G33</f>
        <v>-9.1666666666666661</v>
      </c>
      <c r="G33" s="50">
        <f>'Hypothèses CDR'!$B$33*'Hypothèses CDR'!H33</f>
        <v>-9.1666666666666661</v>
      </c>
      <c r="H33" s="50">
        <f>'Hypothèses CDR'!$B$33*'Hypothèses CDR'!I33</f>
        <v>-9.1666666666666661</v>
      </c>
      <c r="I33" s="50">
        <f>'Hypothèses CDR'!$B$33*'Hypothèses CDR'!J33</f>
        <v>-9.1666666666666661</v>
      </c>
      <c r="J33" s="50">
        <f>'Hypothèses CDR'!$B$33*'Hypothèses CDR'!K33</f>
        <v>-9.1666666666666661</v>
      </c>
      <c r="K33" s="50">
        <f>'Hypothèses CDR'!$B$33*'Hypothèses CDR'!L33</f>
        <v>-9.1666666666666661</v>
      </c>
      <c r="L33" s="50">
        <f>'Hypothèses CDR'!$B$33*'Hypothèses CDR'!M33</f>
        <v>-9.1666666666666661</v>
      </c>
      <c r="M33" s="50">
        <f>'Hypothèses CDR'!$B$33*'Hypothèses CDR'!N33</f>
        <v>-9.1666666666666661</v>
      </c>
      <c r="N33" s="50">
        <f t="shared" si="0"/>
        <v>-110.00000000000001</v>
      </c>
    </row>
    <row r="34" spans="1:15" customFormat="1" ht="3.5" customHeight="1">
      <c r="A34" s="44"/>
      <c r="B34" s="45"/>
      <c r="C34" s="167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>
        <f t="shared" si="0"/>
        <v>0</v>
      </c>
      <c r="O34" s="2"/>
    </row>
    <row r="35" spans="1:15">
      <c r="A35" s="56" t="s">
        <v>22</v>
      </c>
      <c r="B35" s="57">
        <f>SUM(B30:B34)</f>
        <v>-290.84021920695994</v>
      </c>
      <c r="C35" s="57">
        <f t="shared" ref="C35:M35" si="4">SUM(C30:C34)</f>
        <v>354.14197222782565</v>
      </c>
      <c r="D35" s="57">
        <f t="shared" si="4"/>
        <v>-223.90248973585668</v>
      </c>
      <c r="E35" s="57">
        <f t="shared" si="4"/>
        <v>164.36315276821583</v>
      </c>
      <c r="F35" s="57">
        <f t="shared" si="4"/>
        <v>-345.62014436661019</v>
      </c>
      <c r="G35" s="57">
        <f t="shared" si="4"/>
        <v>-65.533615998098114</v>
      </c>
      <c r="H35" s="57">
        <f t="shared" si="4"/>
        <v>574.73640873048373</v>
      </c>
      <c r="I35" s="57">
        <f t="shared" si="4"/>
        <v>271.58077937086915</v>
      </c>
      <c r="J35" s="57">
        <f t="shared" si="4"/>
        <v>690.92121970799451</v>
      </c>
      <c r="K35" s="57">
        <f t="shared" si="4"/>
        <v>-366.87935405080378</v>
      </c>
      <c r="L35" s="57">
        <f t="shared" si="4"/>
        <v>-1208.9865464260354</v>
      </c>
      <c r="M35" s="57">
        <f t="shared" si="4"/>
        <v>2477.9801269789746</v>
      </c>
      <c r="N35" s="57">
        <f t="shared" si="0"/>
        <v>2031.9612899999993</v>
      </c>
    </row>
    <row r="36" spans="1:15" customFormat="1" ht="3.5" customHeight="1">
      <c r="A36" s="171"/>
      <c r="B36" s="150"/>
      <c r="C36" s="151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2"/>
    </row>
    <row r="37" spans="1:15">
      <c r="A37" s="12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5">
      <c r="A38" s="6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5">
      <c r="A39" s="172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5">
      <c r="A40" s="6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5">
      <c r="A41" s="6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5" customFormat="1" ht="3.5" customHeight="1">
      <c r="A42" s="149"/>
      <c r="B42" s="150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8"/>
      <c r="O42" s="2"/>
    </row>
    <row r="43" spans="1:15">
      <c r="A43" s="6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5">
      <c r="A44" s="6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5">
      <c r="A45" s="6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5">
      <c r="A46" s="6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5" s="4" customFormat="1">
      <c r="A47" s="6"/>
    </row>
    <row r="48" spans="1:15" s="4" customFormat="1">
      <c r="A48" s="6"/>
    </row>
    <row r="49" spans="1:1" s="4" customFormat="1">
      <c r="A49" s="6"/>
    </row>
    <row r="50" spans="1:1">
      <c r="A50" s="7"/>
    </row>
    <row r="51" spans="1:1">
      <c r="A51" s="7"/>
    </row>
    <row r="52" spans="1:1">
      <c r="A52" s="7"/>
    </row>
    <row r="53" spans="1:1">
      <c r="A53" s="7"/>
    </row>
    <row r="54" spans="1:1">
      <c r="A54" s="7"/>
    </row>
    <row r="55" spans="1:1">
      <c r="A55" s="7"/>
    </row>
    <row r="56" spans="1:1">
      <c r="A56" s="7"/>
    </row>
    <row r="57" spans="1:1">
      <c r="A57" s="7"/>
    </row>
    <row r="58" spans="1:1">
      <c r="A58" s="7"/>
    </row>
    <row r="59" spans="1:1">
      <c r="A59" s="7"/>
    </row>
    <row r="60" spans="1:1">
      <c r="A60" s="7"/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workbookViewId="0">
      <selection activeCell="A101" sqref="A101"/>
    </sheetView>
  </sheetViews>
  <sheetFormatPr baseColWidth="10" defaultColWidth="8.83203125" defaultRowHeight="12" outlineLevelRow="1" x14ac:dyDescent="0"/>
  <cols>
    <col min="1" max="1" width="42.1640625" style="5" bestFit="1" customWidth="1"/>
    <col min="2" max="2" width="11.5" style="3" customWidth="1"/>
    <col min="3" max="3" width="8.83203125" style="5" customWidth="1" collapsed="1"/>
    <col min="4" max="10" width="8.83203125" style="5" customWidth="1"/>
    <col min="11" max="11" width="11.1640625" style="5" customWidth="1"/>
    <col min="12" max="12" width="9" style="5" customWidth="1"/>
    <col min="13" max="13" width="10.83203125" style="5" customWidth="1"/>
    <col min="14" max="14" width="10.33203125" style="5" customWidth="1"/>
    <col min="15" max="15" width="11.5" style="4" bestFit="1" customWidth="1"/>
    <col min="16" max="16384" width="8.83203125" style="5"/>
  </cols>
  <sheetData>
    <row r="1" spans="1:17">
      <c r="A1" s="173" t="s">
        <v>20</v>
      </c>
      <c r="B1" s="281"/>
      <c r="C1" s="174" t="s">
        <v>156</v>
      </c>
      <c r="D1" s="174" t="s">
        <v>157</v>
      </c>
      <c r="E1" s="174" t="s">
        <v>158</v>
      </c>
      <c r="F1" s="174" t="s">
        <v>159</v>
      </c>
      <c r="G1" s="174" t="s">
        <v>160</v>
      </c>
      <c r="H1" s="174" t="s">
        <v>161</v>
      </c>
      <c r="I1" s="174" t="s">
        <v>162</v>
      </c>
      <c r="J1" s="174" t="s">
        <v>163</v>
      </c>
      <c r="K1" s="174" t="s">
        <v>164</v>
      </c>
      <c r="L1" s="174" t="s">
        <v>165</v>
      </c>
      <c r="M1" s="174" t="s">
        <v>166</v>
      </c>
      <c r="N1" s="174" t="s">
        <v>167</v>
      </c>
    </row>
    <row r="2" spans="1:17" s="178" customFormat="1">
      <c r="A2" s="175" t="s">
        <v>252</v>
      </c>
      <c r="B2" s="282"/>
      <c r="C2" s="177"/>
      <c r="D2" s="176">
        <f>B47</f>
        <v>0</v>
      </c>
      <c r="E2" s="176">
        <f t="shared" ref="E2:N2" si="0">C47</f>
        <v>0</v>
      </c>
      <c r="F2" s="176">
        <f t="shared" si="0"/>
        <v>0</v>
      </c>
      <c r="G2" s="176">
        <f t="shared" si="0"/>
        <v>0</v>
      </c>
      <c r="H2" s="176">
        <f t="shared" si="0"/>
        <v>0</v>
      </c>
      <c r="I2" s="176">
        <f t="shared" si="0"/>
        <v>0</v>
      </c>
      <c r="J2" s="176">
        <f t="shared" si="0"/>
        <v>0</v>
      </c>
      <c r="K2" s="176">
        <f t="shared" si="0"/>
        <v>0</v>
      </c>
      <c r="L2" s="176">
        <f t="shared" si="0"/>
        <v>0</v>
      </c>
      <c r="M2" s="176">
        <f t="shared" si="0"/>
        <v>0</v>
      </c>
      <c r="N2" s="176">
        <f t="shared" si="0"/>
        <v>0</v>
      </c>
      <c r="O2" s="4"/>
    </row>
    <row r="3" spans="1:17" ht="3.5" customHeight="1">
      <c r="A3" s="179"/>
      <c r="B3" s="283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7">
      <c r="A4" s="181" t="s">
        <v>0</v>
      </c>
      <c r="B4" s="284"/>
      <c r="C4" s="182"/>
      <c r="D4" s="182">
        <v>0.17</v>
      </c>
      <c r="E4" s="182">
        <v>0.83</v>
      </c>
      <c r="F4" s="182"/>
      <c r="G4" s="182"/>
      <c r="H4" s="182"/>
      <c r="I4" s="182"/>
      <c r="J4" s="182"/>
      <c r="K4" s="182"/>
      <c r="L4" s="182"/>
      <c r="M4" s="182"/>
      <c r="N4" s="182"/>
    </row>
    <row r="5" spans="1:17">
      <c r="A5" s="184" t="s">
        <v>168</v>
      </c>
      <c r="B5" s="182">
        <f>+'[1]Recettes et Echéances'!$T$107/'[1]Recettes et Echéances'!$T$131</f>
        <v>0.83066187519651857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</row>
    <row r="6" spans="1:17">
      <c r="A6" s="184" t="s">
        <v>169</v>
      </c>
      <c r="B6" s="182">
        <f>+'[1]Recettes et Echéances'!$T$129/'[1]Recettes et Echéances'!$T$131</f>
        <v>0.16933812480348143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</row>
    <row r="7" spans="1:17" ht="3.5" customHeight="1">
      <c r="A7" s="179"/>
      <c r="B7" s="283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</row>
    <row r="8" spans="1:17">
      <c r="A8" s="184" t="s">
        <v>170</v>
      </c>
      <c r="B8" s="285">
        <f>+'[1]Réglements reçus'!$D$135/1000</f>
        <v>3607.6110400000002</v>
      </c>
      <c r="C8" s="182">
        <f>+'[1]Réglements reçus'!$B$137</f>
        <v>0.21362974596063994</v>
      </c>
      <c r="D8" s="182">
        <f>+'[1]Réglements reçus'!$C$137</f>
        <v>0.78637025403936012</v>
      </c>
      <c r="E8" s="182"/>
      <c r="F8" s="182"/>
      <c r="G8" s="182"/>
      <c r="H8" s="182"/>
      <c r="I8" s="182"/>
      <c r="J8" s="182"/>
      <c r="K8" s="182"/>
      <c r="L8" s="182"/>
      <c r="M8" s="182"/>
      <c r="N8" s="182"/>
    </row>
    <row r="9" spans="1:17" ht="3.5" customHeight="1">
      <c r="A9" s="179"/>
      <c r="B9" s="283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</row>
    <row r="10" spans="1:17">
      <c r="A10" s="175" t="s">
        <v>171</v>
      </c>
      <c r="B10" s="286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</row>
    <row r="11" spans="1:17" s="186" customFormat="1">
      <c r="A11" s="179" t="s">
        <v>172</v>
      </c>
      <c r="B11" s="285">
        <f>+'[3]Dettes FNR'!$B$164/1000-1135.4-800</f>
        <v>-4900.8483699999997</v>
      </c>
      <c r="D11" s="182">
        <f>+'[3]Dettes FNR'!C167</f>
        <v>0.27810978851164875</v>
      </c>
      <c r="E11" s="182">
        <f>+'[3]Dettes FNR'!D167</f>
        <v>0.27269769015640455</v>
      </c>
      <c r="F11" s="182">
        <f>+'[3]Dettes FNR'!E167</f>
        <v>0.2628353506560499</v>
      </c>
      <c r="G11" s="182">
        <f>+'[3]Dettes FNR'!F167</f>
        <v>0.11368142115563649</v>
      </c>
      <c r="H11" s="182">
        <f>+'[3]Dettes FNR'!G167</f>
        <v>5.8184762408774536E-2</v>
      </c>
      <c r="I11" s="182">
        <f>+'[3]Dettes FNR'!H167</f>
        <v>1.4490987111485753E-2</v>
      </c>
      <c r="J11" s="182"/>
      <c r="K11" s="182"/>
      <c r="L11" s="182"/>
      <c r="M11" s="182"/>
      <c r="N11" s="182"/>
      <c r="O11" s="4"/>
      <c r="P11" s="5"/>
      <c r="Q11" s="5"/>
    </row>
    <row r="12" spans="1:17" ht="3.5" customHeight="1">
      <c r="A12" s="179"/>
      <c r="B12" s="283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</row>
    <row r="13" spans="1:17">
      <c r="A13" s="187" t="s">
        <v>2</v>
      </c>
      <c r="B13" s="195"/>
      <c r="C13" s="185"/>
      <c r="D13" s="185"/>
      <c r="E13" s="182">
        <v>1</v>
      </c>
      <c r="F13" s="182"/>
      <c r="G13" s="182"/>
      <c r="H13" s="182"/>
      <c r="I13" s="182"/>
      <c r="J13" s="182"/>
      <c r="K13" s="182"/>
      <c r="L13" s="182"/>
      <c r="M13" s="182"/>
      <c r="N13" s="182"/>
    </row>
    <row r="14" spans="1:17">
      <c r="A14" s="187" t="s">
        <v>138</v>
      </c>
      <c r="B14" s="195"/>
      <c r="C14" s="185"/>
      <c r="D14" s="185"/>
      <c r="E14" s="182">
        <v>1</v>
      </c>
      <c r="F14" s="182"/>
      <c r="G14" s="182"/>
      <c r="H14" s="182"/>
      <c r="I14" s="182"/>
      <c r="J14" s="182"/>
      <c r="K14" s="182"/>
      <c r="L14" s="182"/>
      <c r="M14" s="182"/>
      <c r="N14" s="182"/>
    </row>
    <row r="15" spans="1:17">
      <c r="A15" s="187" t="s">
        <v>67</v>
      </c>
      <c r="B15" s="195"/>
      <c r="C15" s="185"/>
      <c r="D15" s="185"/>
      <c r="E15" s="182">
        <v>1</v>
      </c>
      <c r="F15" s="182"/>
      <c r="G15" s="182"/>
      <c r="H15" s="182"/>
      <c r="I15" s="182"/>
      <c r="J15" s="182"/>
      <c r="K15" s="182"/>
      <c r="L15" s="182"/>
      <c r="M15" s="182"/>
      <c r="N15" s="182"/>
    </row>
    <row r="16" spans="1:17">
      <c r="A16" s="187" t="s">
        <v>3</v>
      </c>
      <c r="B16" s="195"/>
      <c r="C16" s="185">
        <v>0.9</v>
      </c>
      <c r="D16" s="185">
        <v>0.1</v>
      </c>
      <c r="E16" s="185"/>
      <c r="F16" s="185"/>
      <c r="G16" s="185"/>
      <c r="H16" s="185"/>
      <c r="I16" s="185"/>
      <c r="J16" s="185"/>
      <c r="K16" s="185"/>
      <c r="L16" s="185"/>
      <c r="M16" s="185"/>
      <c r="N16" s="185"/>
    </row>
    <row r="17" spans="1:15">
      <c r="A17" s="187" t="s">
        <v>4</v>
      </c>
      <c r="B17" s="195"/>
      <c r="C17" s="185">
        <v>1</v>
      </c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8"/>
    </row>
    <row r="18" spans="1:15">
      <c r="A18" s="187" t="s">
        <v>5</v>
      </c>
      <c r="B18" s="195"/>
      <c r="C18" s="185"/>
      <c r="D18" s="185"/>
      <c r="E18" s="182">
        <v>0.8</v>
      </c>
      <c r="F18" s="182">
        <v>0.2</v>
      </c>
      <c r="G18" s="182"/>
      <c r="H18" s="182"/>
      <c r="I18" s="182"/>
      <c r="J18" s="182"/>
      <c r="K18" s="182"/>
      <c r="L18" s="182"/>
      <c r="M18" s="182"/>
      <c r="N18" s="182"/>
      <c r="O18" s="188"/>
    </row>
    <row r="19" spans="1:15">
      <c r="A19" s="187" t="s">
        <v>6</v>
      </c>
      <c r="B19" s="195"/>
      <c r="C19" s="185"/>
      <c r="D19" s="185">
        <v>1</v>
      </c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8"/>
    </row>
    <row r="20" spans="1:15">
      <c r="A20" s="187" t="s">
        <v>7</v>
      </c>
      <c r="B20" s="195"/>
      <c r="C20" s="189"/>
      <c r="D20" s="185">
        <v>1</v>
      </c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8"/>
    </row>
    <row r="21" spans="1:15">
      <c r="A21" s="187" t="s">
        <v>8</v>
      </c>
      <c r="B21" s="195"/>
      <c r="C21" s="182"/>
      <c r="D21" s="182"/>
      <c r="E21" s="182">
        <v>1</v>
      </c>
      <c r="F21" s="182"/>
      <c r="G21" s="182"/>
      <c r="H21" s="182"/>
      <c r="I21" s="182"/>
      <c r="J21" s="182"/>
      <c r="K21" s="182"/>
      <c r="L21" s="182"/>
      <c r="M21" s="182"/>
      <c r="N21" s="182"/>
      <c r="O21" s="188"/>
    </row>
    <row r="22" spans="1:15">
      <c r="A22" s="187" t="s">
        <v>9</v>
      </c>
      <c r="B22" s="195"/>
      <c r="C22" s="190"/>
      <c r="D22" s="190"/>
      <c r="E22" s="182">
        <v>0.9</v>
      </c>
      <c r="F22" s="182">
        <v>0.1</v>
      </c>
      <c r="G22" s="182"/>
      <c r="H22" s="182"/>
      <c r="I22" s="182"/>
      <c r="J22" s="182"/>
      <c r="K22" s="182"/>
      <c r="L22" s="182"/>
      <c r="M22" s="182"/>
      <c r="N22" s="182"/>
      <c r="O22" s="188"/>
    </row>
    <row r="23" spans="1:15">
      <c r="A23" s="187" t="s">
        <v>10</v>
      </c>
      <c r="B23" s="195"/>
      <c r="C23" s="190"/>
      <c r="D23" s="190"/>
      <c r="E23" s="182">
        <v>0.8</v>
      </c>
      <c r="F23" s="182">
        <v>0.2</v>
      </c>
      <c r="G23" s="182"/>
      <c r="H23" s="182"/>
      <c r="I23" s="182"/>
      <c r="J23" s="182"/>
      <c r="K23" s="182"/>
      <c r="L23" s="182"/>
      <c r="M23" s="182"/>
      <c r="N23" s="182"/>
      <c r="O23" s="188"/>
    </row>
    <row r="24" spans="1:15">
      <c r="A24" s="187" t="s">
        <v>11</v>
      </c>
      <c r="B24" s="195"/>
      <c r="C24" s="185">
        <v>0.5</v>
      </c>
      <c r="D24" s="185"/>
      <c r="E24" s="182">
        <v>0.3</v>
      </c>
      <c r="F24" s="182">
        <v>0.2</v>
      </c>
      <c r="G24" s="182"/>
      <c r="H24" s="182"/>
      <c r="I24" s="182"/>
      <c r="J24" s="182"/>
      <c r="K24" s="182"/>
      <c r="L24" s="182"/>
      <c r="M24" s="182"/>
      <c r="N24" s="182"/>
      <c r="O24" s="188"/>
    </row>
    <row r="25" spans="1:15">
      <c r="A25" s="187" t="s">
        <v>12</v>
      </c>
      <c r="B25" s="195"/>
      <c r="C25" s="185">
        <v>0.9</v>
      </c>
      <c r="D25" s="185">
        <v>0.1</v>
      </c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88"/>
    </row>
    <row r="26" spans="1:15">
      <c r="A26" s="187" t="s">
        <v>13</v>
      </c>
      <c r="B26" s="195"/>
      <c r="C26" s="185"/>
      <c r="D26" s="185"/>
      <c r="E26" s="182">
        <v>0.8</v>
      </c>
      <c r="F26" s="182">
        <v>0.2</v>
      </c>
      <c r="G26" s="182"/>
      <c r="H26" s="182"/>
      <c r="I26" s="182"/>
      <c r="J26" s="182"/>
      <c r="K26" s="182"/>
      <c r="L26" s="182"/>
      <c r="M26" s="182"/>
      <c r="N26" s="182"/>
    </row>
    <row r="27" spans="1:15" ht="3.5" customHeight="1">
      <c r="A27" s="179"/>
      <c r="B27" s="283"/>
      <c r="C27" s="185"/>
      <c r="D27" s="185"/>
      <c r="E27" s="180"/>
      <c r="F27" s="180"/>
      <c r="G27" s="180"/>
      <c r="H27" s="180"/>
      <c r="I27" s="180"/>
      <c r="J27" s="180"/>
      <c r="K27" s="180"/>
      <c r="L27" s="180"/>
      <c r="M27" s="180"/>
      <c r="N27" s="180"/>
    </row>
    <row r="28" spans="1:15" s="186" customFormat="1">
      <c r="A28" s="191" t="s">
        <v>173</v>
      </c>
      <c r="B28" s="285"/>
      <c r="C28" s="185"/>
      <c r="D28" s="185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3"/>
    </row>
    <row r="29" spans="1:15" ht="3.5" customHeight="1">
      <c r="A29" s="179"/>
      <c r="B29" s="283"/>
      <c r="C29" s="185"/>
      <c r="D29" s="185"/>
      <c r="E29" s="180"/>
      <c r="F29" s="180"/>
      <c r="G29" s="180"/>
      <c r="H29" s="180"/>
      <c r="I29" s="180"/>
      <c r="J29" s="180"/>
      <c r="K29" s="180"/>
      <c r="L29" s="180"/>
      <c r="M29" s="180"/>
      <c r="N29" s="180"/>
    </row>
    <row r="30" spans="1:15">
      <c r="A30" s="187" t="s">
        <v>14</v>
      </c>
      <c r="B30" s="195"/>
      <c r="C30" s="185">
        <v>1</v>
      </c>
      <c r="D30" s="185"/>
      <c r="E30" s="189"/>
      <c r="F30" s="189"/>
      <c r="G30" s="189"/>
      <c r="H30" s="189"/>
      <c r="I30" s="189"/>
      <c r="J30" s="189"/>
      <c r="K30" s="189"/>
      <c r="L30" s="189"/>
      <c r="M30" s="189"/>
      <c r="N30" s="189"/>
    </row>
    <row r="31" spans="1:15">
      <c r="A31" s="187" t="s">
        <v>174</v>
      </c>
      <c r="B31" s="195"/>
      <c r="C31" s="185">
        <v>1</v>
      </c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</row>
    <row r="32" spans="1:15">
      <c r="A32" s="187" t="s">
        <v>253</v>
      </c>
      <c r="B32" s="195">
        <v>14.03</v>
      </c>
      <c r="C32" s="185">
        <v>1</v>
      </c>
      <c r="D32" s="185">
        <v>1</v>
      </c>
      <c r="E32" s="185">
        <v>1</v>
      </c>
      <c r="F32" s="185">
        <v>1</v>
      </c>
      <c r="G32" s="185">
        <v>1</v>
      </c>
      <c r="H32" s="185">
        <v>1</v>
      </c>
      <c r="I32" s="185">
        <v>1</v>
      </c>
      <c r="J32" s="185">
        <v>1</v>
      </c>
      <c r="K32" s="185">
        <v>1</v>
      </c>
      <c r="L32" s="185">
        <v>1</v>
      </c>
      <c r="M32" s="185">
        <v>1</v>
      </c>
      <c r="N32" s="185">
        <v>1</v>
      </c>
    </row>
    <row r="33" spans="1:15">
      <c r="A33" s="187" t="s">
        <v>254</v>
      </c>
      <c r="B33" s="195">
        <v>3.7</v>
      </c>
      <c r="C33" s="185">
        <v>1</v>
      </c>
      <c r="D33" s="185">
        <v>1</v>
      </c>
      <c r="E33" s="185">
        <v>1</v>
      </c>
      <c r="F33" s="185">
        <v>1</v>
      </c>
      <c r="G33" s="185">
        <v>1</v>
      </c>
      <c r="H33" s="185">
        <v>1</v>
      </c>
      <c r="I33" s="185">
        <v>1</v>
      </c>
      <c r="J33" s="185">
        <v>1</v>
      </c>
      <c r="K33" s="185"/>
      <c r="L33" s="185"/>
      <c r="M33" s="185"/>
      <c r="N33" s="185"/>
    </row>
    <row r="34" spans="1:15">
      <c r="A34" s="187" t="s">
        <v>248</v>
      </c>
      <c r="B34" s="195">
        <v>5.57</v>
      </c>
      <c r="C34" s="185">
        <v>1</v>
      </c>
      <c r="D34" s="185">
        <v>1</v>
      </c>
      <c r="E34" s="185">
        <v>1</v>
      </c>
      <c r="F34" s="185">
        <v>1</v>
      </c>
      <c r="G34" s="185">
        <v>1</v>
      </c>
      <c r="H34" s="185">
        <v>1</v>
      </c>
      <c r="I34" s="185"/>
      <c r="J34" s="185"/>
      <c r="K34" s="185"/>
      <c r="L34" s="185"/>
      <c r="M34" s="185"/>
      <c r="N34" s="185"/>
    </row>
    <row r="35" spans="1:15">
      <c r="A35" s="187" t="s">
        <v>249</v>
      </c>
      <c r="B35" s="195">
        <v>107.35</v>
      </c>
      <c r="C35" s="185">
        <v>0.25</v>
      </c>
      <c r="D35" s="185"/>
      <c r="E35" s="185"/>
      <c r="F35" s="185">
        <v>0.25</v>
      </c>
      <c r="G35" s="185"/>
      <c r="H35" s="185"/>
      <c r="I35" s="185">
        <v>0.25</v>
      </c>
      <c r="J35" s="185"/>
      <c r="K35" s="185"/>
      <c r="L35" s="185">
        <v>0.25</v>
      </c>
      <c r="M35" s="185"/>
      <c r="N35" s="185"/>
    </row>
    <row r="36" spans="1:15">
      <c r="A36" s="187" t="s">
        <v>255</v>
      </c>
      <c r="B36" s="19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</row>
    <row r="37" spans="1:15">
      <c r="A37" s="187" t="s">
        <v>256</v>
      </c>
      <c r="B37" s="195">
        <f>+B97</f>
        <v>32.084500000000006</v>
      </c>
      <c r="C37" s="194">
        <v>0</v>
      </c>
      <c r="D37" s="194">
        <v>0</v>
      </c>
      <c r="E37" s="194">
        <v>0</v>
      </c>
      <c r="F37" s="194">
        <v>0</v>
      </c>
      <c r="G37" s="194">
        <v>0</v>
      </c>
      <c r="H37" s="194">
        <v>0</v>
      </c>
      <c r="I37" s="194">
        <v>0</v>
      </c>
      <c r="J37" s="194">
        <v>0</v>
      </c>
      <c r="K37" s="194">
        <v>0</v>
      </c>
      <c r="L37" s="194">
        <v>0</v>
      </c>
      <c r="M37" s="194">
        <v>0</v>
      </c>
      <c r="N37" s="185">
        <v>1</v>
      </c>
    </row>
    <row r="38" spans="1:15">
      <c r="A38" s="187" t="s">
        <v>15</v>
      </c>
      <c r="B38" s="195"/>
      <c r="C38" s="185">
        <v>1</v>
      </c>
      <c r="D38" s="185"/>
      <c r="E38" s="189"/>
      <c r="F38" s="189"/>
      <c r="G38" s="189"/>
      <c r="H38" s="189"/>
      <c r="I38" s="189"/>
      <c r="J38" s="189"/>
      <c r="K38" s="189"/>
      <c r="L38" s="189"/>
      <c r="M38" s="189"/>
      <c r="N38" s="189"/>
    </row>
    <row r="39" spans="1:15">
      <c r="A39" s="187" t="s">
        <v>179</v>
      </c>
      <c r="B39" s="195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5">
      <c r="A40" s="187" t="s">
        <v>16</v>
      </c>
      <c r="B40" s="284"/>
      <c r="C40" s="185">
        <v>1</v>
      </c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</row>
    <row r="41" spans="1:15">
      <c r="A41" s="187" t="s">
        <v>17</v>
      </c>
      <c r="B41" s="284"/>
      <c r="C41" s="192"/>
      <c r="D41" s="182">
        <f>+D68*B75</f>
        <v>0.24279234735000899</v>
      </c>
      <c r="E41" s="182">
        <f>+D68*B75</f>
        <v>0.24279234735000899</v>
      </c>
      <c r="F41" s="182">
        <f>(SUM(D69:D72)*2+1)*B75</f>
        <v>0.53819077744605726</v>
      </c>
      <c r="G41" s="182">
        <f>+D68*B75</f>
        <v>0.24279234735000899</v>
      </c>
      <c r="H41" s="182">
        <f>+D68</f>
        <v>0.71146170412070586</v>
      </c>
      <c r="I41" s="185">
        <f>SUM(D69:D72)*2+1</f>
        <v>1.5770765917585883</v>
      </c>
      <c r="J41" s="185">
        <f>+D68</f>
        <v>0.71146170412070586</v>
      </c>
      <c r="K41" s="185">
        <f>+D68</f>
        <v>0.71146170412070586</v>
      </c>
      <c r="L41" s="185">
        <f>SUM(D69:D72)*2+1</f>
        <v>1.5770765917585883</v>
      </c>
      <c r="M41" s="185">
        <f>+D68</f>
        <v>0.71146170412070586</v>
      </c>
      <c r="N41" s="185">
        <f>+D68</f>
        <v>0.71146170412070586</v>
      </c>
    </row>
    <row r="42" spans="1:15" ht="3.5" customHeight="1">
      <c r="A42" s="179"/>
      <c r="B42" s="283"/>
      <c r="C42" s="192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</row>
    <row r="43" spans="1:15" s="186" customFormat="1">
      <c r="A43" s="191" t="s">
        <v>180</v>
      </c>
      <c r="B43" s="287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3"/>
    </row>
    <row r="44" spans="1:15" ht="3.5" customHeight="1">
      <c r="A44" s="179"/>
      <c r="B44" s="283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</row>
    <row r="45" spans="1:15">
      <c r="A45" s="175" t="s">
        <v>181</v>
      </c>
      <c r="B45" s="286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</row>
    <row r="46" spans="1:15">
      <c r="A46" s="187" t="s">
        <v>182</v>
      </c>
      <c r="B46" s="288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</row>
    <row r="47" spans="1:15">
      <c r="A47" s="197" t="s">
        <v>183</v>
      </c>
      <c r="B47" s="289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</row>
    <row r="48" spans="1:15">
      <c r="A48" s="187"/>
      <c r="B48" s="195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</row>
    <row r="49" spans="1:15">
      <c r="A49" s="187" t="s">
        <v>15</v>
      </c>
      <c r="B49" s="195">
        <f>SUM(B50:B51)</f>
        <v>31.2896</v>
      </c>
      <c r="C49" s="194">
        <v>0</v>
      </c>
      <c r="D49" s="194">
        <v>0</v>
      </c>
      <c r="E49" s="194">
        <v>0</v>
      </c>
      <c r="F49" s="194">
        <v>0</v>
      </c>
      <c r="G49" s="194">
        <v>0</v>
      </c>
      <c r="H49" s="189">
        <v>2.7777777777777776E-2</v>
      </c>
      <c r="I49" s="189">
        <v>2.7777777777777776E-2</v>
      </c>
      <c r="J49" s="189">
        <v>2.7777777777777776E-2</v>
      </c>
      <c r="K49" s="189">
        <v>2.7777777777777776E-2</v>
      </c>
      <c r="L49" s="189">
        <v>2.7777777777777776E-2</v>
      </c>
      <c r="M49" s="189">
        <v>2.7777777777777776E-2</v>
      </c>
      <c r="N49" s="189">
        <v>2.7777777777777776E-2</v>
      </c>
    </row>
    <row r="50" spans="1:15" s="4" customFormat="1" outlineLevel="1">
      <c r="A50" s="199" t="s">
        <v>184</v>
      </c>
      <c r="B50" s="201">
        <v>0</v>
      </c>
      <c r="C50" s="189">
        <v>0</v>
      </c>
      <c r="D50" s="189">
        <v>0</v>
      </c>
      <c r="E50" s="189">
        <v>0</v>
      </c>
      <c r="F50" s="189">
        <v>0</v>
      </c>
      <c r="G50" s="189">
        <v>0</v>
      </c>
      <c r="H50" s="189">
        <v>2.7777777777777776E-2</v>
      </c>
      <c r="I50" s="200"/>
      <c r="J50" s="200"/>
      <c r="K50" s="200"/>
      <c r="L50" s="200"/>
      <c r="M50" s="200"/>
      <c r="N50" s="200"/>
    </row>
    <row r="51" spans="1:15" s="4" customFormat="1" outlineLevel="1">
      <c r="A51" s="199" t="s">
        <v>185</v>
      </c>
      <c r="B51" s="201">
        <f>+B60*0.16%</f>
        <v>31.2896</v>
      </c>
      <c r="C51" s="189">
        <v>0</v>
      </c>
      <c r="D51" s="189">
        <v>0</v>
      </c>
      <c r="E51" s="189">
        <v>0</v>
      </c>
      <c r="F51" s="189">
        <v>0</v>
      </c>
      <c r="G51" s="189">
        <v>0</v>
      </c>
      <c r="H51" s="189">
        <v>2.7777777777777776E-2</v>
      </c>
      <c r="I51" s="200"/>
      <c r="J51" s="200"/>
      <c r="K51" s="200"/>
      <c r="L51" s="200"/>
      <c r="M51" s="200"/>
      <c r="N51" s="200"/>
    </row>
    <row r="52" spans="1:15" s="4" customFormat="1">
      <c r="A52" s="199" t="s">
        <v>179</v>
      </c>
      <c r="B52" s="195">
        <f>-E64</f>
        <v>704.66932603486771</v>
      </c>
      <c r="C52" s="194">
        <v>0</v>
      </c>
      <c r="D52" s="194">
        <v>0</v>
      </c>
      <c r="E52" s="194">
        <v>0</v>
      </c>
      <c r="F52" s="194">
        <v>0</v>
      </c>
      <c r="G52" s="194">
        <v>0</v>
      </c>
      <c r="H52" s="189">
        <v>2.7777777777777776E-2</v>
      </c>
      <c r="I52" s="189">
        <v>2.7777777777777776E-2</v>
      </c>
      <c r="J52" s="189">
        <v>2.7777777777777776E-2</v>
      </c>
      <c r="K52" s="189">
        <v>2.7777777777777776E-2</v>
      </c>
      <c r="L52" s="189">
        <v>2.7777777777777776E-2</v>
      </c>
      <c r="M52" s="189">
        <v>2.7777777777777776E-2</v>
      </c>
      <c r="N52" s="189">
        <v>2.7777777777777776E-2</v>
      </c>
    </row>
    <row r="53" spans="1:15" s="4" customFormat="1">
      <c r="A53" s="199" t="s">
        <v>186</v>
      </c>
      <c r="B53" s="195">
        <f>+(B85+C85+B86+C86)</f>
        <v>708.60699999999997</v>
      </c>
      <c r="C53" s="194"/>
      <c r="D53" s="194"/>
      <c r="E53" s="194"/>
      <c r="F53" s="194"/>
      <c r="G53" s="194"/>
      <c r="H53" s="189">
        <v>2.7777777777777776E-2</v>
      </c>
      <c r="I53" s="189">
        <v>2.7777777777777776E-2</v>
      </c>
      <c r="J53" s="189">
        <v>2.7777777777777776E-2</v>
      </c>
      <c r="K53" s="189">
        <v>2.7777777777777776E-2</v>
      </c>
      <c r="L53" s="189">
        <v>2.7777777777777776E-2</v>
      </c>
      <c r="M53" s="189">
        <v>2.7777777777777776E-2</v>
      </c>
      <c r="N53" s="189">
        <v>2.7777777777777776E-2</v>
      </c>
    </row>
    <row r="54" spans="1:15">
      <c r="A54" s="175" t="s">
        <v>187</v>
      </c>
      <c r="B54" s="290">
        <f>SUM(B52:B53)+B49</f>
        <v>1444.5659260348677</v>
      </c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5"/>
    </row>
    <row r="55" spans="1:15">
      <c r="A55" s="199" t="s">
        <v>188</v>
      </c>
      <c r="B55" s="195">
        <f>+(B89+C89+B90+C90+B91+C91)</f>
        <v>435.637</v>
      </c>
      <c r="C55" s="194">
        <v>0</v>
      </c>
      <c r="D55" s="194">
        <v>0</v>
      </c>
      <c r="E55" s="194">
        <v>0</v>
      </c>
      <c r="F55" s="194">
        <v>0</v>
      </c>
      <c r="G55" s="194">
        <v>0</v>
      </c>
      <c r="H55" s="189">
        <v>2.7777777777777776E-2</v>
      </c>
      <c r="I55" s="189">
        <v>2.7777777777777776E-2</v>
      </c>
      <c r="J55" s="189">
        <v>2.7777777777777776E-2</v>
      </c>
      <c r="K55" s="189">
        <v>2.7777777777777776E-2</v>
      </c>
      <c r="L55" s="189">
        <v>2.7777777777777776E-2</v>
      </c>
      <c r="M55" s="189">
        <v>2.7777777777777776E-2</v>
      </c>
      <c r="N55" s="189">
        <v>2.7777777777777776E-2</v>
      </c>
      <c r="O55" s="5"/>
    </row>
    <row r="56" spans="1:15">
      <c r="A56" s="202" t="s">
        <v>189</v>
      </c>
      <c r="B56" s="291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5"/>
    </row>
    <row r="57" spans="1:15">
      <c r="A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5"/>
    </row>
    <row r="58" spans="1:15">
      <c r="A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5"/>
    </row>
    <row r="59" spans="1:15">
      <c r="H59" s="189"/>
    </row>
    <row r="60" spans="1:15">
      <c r="A60" s="5" t="s">
        <v>190</v>
      </c>
      <c r="B60" s="292">
        <f>22556-3000</f>
        <v>19556</v>
      </c>
      <c r="C60" s="5" t="s">
        <v>191</v>
      </c>
    </row>
    <row r="61" spans="1:15">
      <c r="E61" s="204"/>
    </row>
    <row r="62" spans="1:15">
      <c r="A62" s="187" t="s">
        <v>179</v>
      </c>
      <c r="B62" s="195"/>
      <c r="C62" s="153"/>
      <c r="D62" s="153"/>
      <c r="E62" s="153">
        <v>-317.89999999999998</v>
      </c>
      <c r="F62" s="153">
        <v>-185.82</v>
      </c>
      <c r="G62" s="153">
        <v>-103.98119773451259</v>
      </c>
      <c r="H62" s="153">
        <v>-96.968128300355204</v>
      </c>
      <c r="I62" s="153">
        <v>-287.14692283902474</v>
      </c>
      <c r="J62" s="153">
        <v>-72.058200429436624</v>
      </c>
      <c r="K62" s="153">
        <v>-177.52509252858687</v>
      </c>
      <c r="L62" s="153">
        <v>-290.28075389273204</v>
      </c>
      <c r="M62" s="153">
        <v>-176.59989519244556</v>
      </c>
      <c r="N62" s="153">
        <v>-233.98976569164876</v>
      </c>
    </row>
    <row r="64" spans="1:15">
      <c r="E64" s="303">
        <f>SUM(C62:H62)</f>
        <v>-704.66932603486771</v>
      </c>
      <c r="F64" s="303"/>
    </row>
    <row r="67" spans="1:16">
      <c r="A67" s="186" t="s">
        <v>192</v>
      </c>
      <c r="B67" s="3" t="s">
        <v>193</v>
      </c>
      <c r="C67" s="108" t="s">
        <v>194</v>
      </c>
      <c r="D67" s="108"/>
      <c r="F67" s="108"/>
      <c r="G67" s="1"/>
      <c r="H67" s="108"/>
      <c r="P67" s="4"/>
    </row>
    <row r="68" spans="1:16">
      <c r="A68" s="205" t="s">
        <v>195</v>
      </c>
      <c r="B68" s="293">
        <f>62141.22+9880.26</f>
        <v>72021.48</v>
      </c>
      <c r="C68" s="206">
        <f>130172.02+18149.37</f>
        <v>148321.39000000001</v>
      </c>
      <c r="D68" s="207">
        <f>+(B68+C68)/$D$73</f>
        <v>0.71146170412070586</v>
      </c>
      <c r="E68" s="208">
        <f>B68+C68</f>
        <v>220342.87</v>
      </c>
      <c r="F68" s="206"/>
      <c r="G68" s="207"/>
      <c r="P68" s="4"/>
    </row>
    <row r="69" spans="1:16">
      <c r="A69" s="205" t="s">
        <v>196</v>
      </c>
      <c r="B69" s="293">
        <v>23884.6</v>
      </c>
      <c r="C69" s="206">
        <v>37044.99</v>
      </c>
      <c r="D69" s="207">
        <f t="shared" ref="D69:D72" si="1">+(B69+C69)/$D$73</f>
        <v>0.19673461606802123</v>
      </c>
      <c r="E69" s="208">
        <f t="shared" ref="E69:E72" si="2">B69+C69</f>
        <v>60929.59</v>
      </c>
      <c r="F69" s="206"/>
      <c r="G69" s="207"/>
      <c r="H69" s="207"/>
      <c r="P69" s="4"/>
    </row>
    <row r="70" spans="1:16">
      <c r="A70" s="205" t="s">
        <v>197</v>
      </c>
      <c r="B70" s="293">
        <v>3512.3</v>
      </c>
      <c r="C70" s="206">
        <v>6760.66</v>
      </c>
      <c r="D70" s="207">
        <f t="shared" si="1"/>
        <v>3.3170202548255118E-2</v>
      </c>
      <c r="E70" s="208">
        <f t="shared" si="2"/>
        <v>10272.959999999999</v>
      </c>
      <c r="F70" s="206"/>
      <c r="G70" s="207"/>
      <c r="H70" s="207"/>
      <c r="P70" s="4"/>
    </row>
    <row r="71" spans="1:16">
      <c r="A71" s="205" t="s">
        <v>198</v>
      </c>
      <c r="B71" s="293">
        <v>6270.9</v>
      </c>
      <c r="C71" s="206">
        <v>2826.35</v>
      </c>
      <c r="D71" s="207">
        <f t="shared" si="1"/>
        <v>2.9373970611402542E-2</v>
      </c>
      <c r="E71" s="208">
        <f t="shared" si="2"/>
        <v>9097.25</v>
      </c>
      <c r="F71" s="206"/>
      <c r="H71" s="207"/>
      <c r="P71" s="4"/>
    </row>
    <row r="72" spans="1:16">
      <c r="A72" s="205" t="s">
        <v>199</v>
      </c>
      <c r="B72" s="294">
        <v>0</v>
      </c>
      <c r="C72" s="209">
        <f>4379.44+1463.67+3218.69</f>
        <v>9061.7999999999993</v>
      </c>
      <c r="D72" s="210">
        <f t="shared" si="1"/>
        <v>2.9259506651615329E-2</v>
      </c>
      <c r="E72" s="208">
        <f t="shared" si="2"/>
        <v>9061.7999999999993</v>
      </c>
      <c r="F72" s="206"/>
      <c r="H72" s="207"/>
      <c r="P72" s="4"/>
    </row>
    <row r="73" spans="1:16">
      <c r="B73" s="293">
        <f>SUM(B68:B72)</f>
        <v>105689.27999999998</v>
      </c>
      <c r="C73" s="206">
        <f>SUM(C68:C72)</f>
        <v>204015.19</v>
      </c>
      <c r="D73" s="206">
        <f>SUM(B73:C73)</f>
        <v>309704.46999999997</v>
      </c>
      <c r="F73" s="206"/>
      <c r="P73" s="4"/>
    </row>
    <row r="74" spans="1:16">
      <c r="F74" s="206"/>
    </row>
    <row r="75" spans="1:16">
      <c r="B75" s="295">
        <f>+B73/(B73+C73)</f>
        <v>0.34125849071535841</v>
      </c>
      <c r="C75" s="211">
        <f>+C73/(B73+C73)</f>
        <v>0.6587415092846417</v>
      </c>
    </row>
    <row r="77" spans="1:16" hidden="1"/>
    <row r="78" spans="1:16" hidden="1">
      <c r="A78" s="5" t="s">
        <v>200</v>
      </c>
    </row>
    <row r="79" spans="1:16" hidden="1">
      <c r="A79" s="205" t="s">
        <v>201</v>
      </c>
      <c r="B79" s="293">
        <v>150.315</v>
      </c>
    </row>
    <row r="80" spans="1:16" hidden="1">
      <c r="A80" s="205" t="s">
        <v>202</v>
      </c>
      <c r="B80" s="293">
        <v>27.8</v>
      </c>
    </row>
    <row r="81" spans="1:4" hidden="1">
      <c r="A81" s="205" t="s">
        <v>203</v>
      </c>
      <c r="B81" s="293">
        <f>(-'CDR mensuel'!B26*'Hypothèses tréso.'!C75*3)+(-'CDR mensuel'!E26*'Hypothèses tréso.'!C75*'Hypothèses tréso.'!D68)</f>
        <v>484.6937656449856</v>
      </c>
      <c r="D81" s="208"/>
    </row>
    <row r="82" spans="1:4" hidden="1"/>
    <row r="84" spans="1:4" ht="56">
      <c r="A84" s="212" t="s">
        <v>20</v>
      </c>
      <c r="B84" s="296" t="s">
        <v>204</v>
      </c>
      <c r="C84" s="213" t="s">
        <v>205</v>
      </c>
      <c r="D84" s="213" t="s">
        <v>206</v>
      </c>
    </row>
    <row r="85" spans="1:4" ht="14">
      <c r="A85" s="214" t="s">
        <v>240</v>
      </c>
      <c r="B85" s="215">
        <f>(75263+70808+64751)/1000</f>
        <v>210.822</v>
      </c>
      <c r="C85" s="215">
        <f>(68480+68955)/1000</f>
        <v>137.435</v>
      </c>
      <c r="D85" s="215">
        <f>SUM(B85:C85)/36</f>
        <v>9.6738055555555551</v>
      </c>
    </row>
    <row r="86" spans="1:4" ht="14">
      <c r="A86" s="214" t="s">
        <v>241</v>
      </c>
      <c r="B86" s="215">
        <f>(73091+72173+72046)/1000</f>
        <v>217.31</v>
      </c>
      <c r="C86" s="215">
        <f>(71270+71770)/1000</f>
        <v>143.04</v>
      </c>
      <c r="D86" s="215">
        <f t="shared" ref="D86:D91" si="3">SUM(B86:C86)/36</f>
        <v>10.009722222222223</v>
      </c>
    </row>
    <row r="87" spans="1:4" ht="14">
      <c r="A87" s="214" t="s">
        <v>179</v>
      </c>
      <c r="B87" s="215">
        <f>(317944+185818)/1000</f>
        <v>503.762</v>
      </c>
      <c r="C87" s="215">
        <f>-G62-H62</f>
        <v>200.94932603486779</v>
      </c>
      <c r="D87" s="215">
        <f t="shared" si="3"/>
        <v>19.575314612079662</v>
      </c>
    </row>
    <row r="88" spans="1:4" ht="14">
      <c r="A88" s="214" t="s">
        <v>207</v>
      </c>
      <c r="B88" s="216">
        <v>0</v>
      </c>
      <c r="C88" s="215">
        <f>+B51</f>
        <v>31.2896</v>
      </c>
      <c r="D88" s="215">
        <f t="shared" si="3"/>
        <v>0.86915555555555557</v>
      </c>
    </row>
    <row r="89" spans="1:4" ht="14">
      <c r="A89" s="217" t="s">
        <v>242</v>
      </c>
      <c r="B89" s="215">
        <f>(142074+125012)/1000</f>
        <v>267.08600000000001</v>
      </c>
      <c r="C89" s="215">
        <f>73600/1000</f>
        <v>73.599999999999994</v>
      </c>
      <c r="D89" s="215">
        <f t="shared" si="3"/>
        <v>9.4635000000000016</v>
      </c>
    </row>
    <row r="90" spans="1:4" ht="14">
      <c r="A90" s="217" t="s">
        <v>243</v>
      </c>
      <c r="B90" s="215">
        <f>(8241+8557)/1000</f>
        <v>16.797999999999998</v>
      </c>
      <c r="C90" s="215">
        <v>5.7119999999999997</v>
      </c>
      <c r="D90" s="215">
        <f t="shared" si="3"/>
        <v>0.62527777777777771</v>
      </c>
    </row>
    <row r="91" spans="1:4" ht="14">
      <c r="A91" s="214" t="s">
        <v>244</v>
      </c>
      <c r="B91" s="215">
        <f>(27806+26865)/1000</f>
        <v>54.670999999999999</v>
      </c>
      <c r="C91" s="215">
        <v>17.77</v>
      </c>
      <c r="D91" s="215">
        <f t="shared" si="3"/>
        <v>2.0122499999999999</v>
      </c>
    </row>
    <row r="92" spans="1:4" ht="14">
      <c r="A92" s="218" t="s">
        <v>208</v>
      </c>
      <c r="B92" s="297">
        <f>SUM(B85:B91)</f>
        <v>1270.4490000000001</v>
      </c>
      <c r="C92" s="219">
        <f t="shared" ref="C92:D92" si="4">SUM(C85:C91)</f>
        <v>609.79592603486776</v>
      </c>
      <c r="D92" s="219">
        <f t="shared" si="4"/>
        <v>52.229025723190773</v>
      </c>
    </row>
    <row r="93" spans="1:4">
      <c r="A93" s="33" t="s">
        <v>209</v>
      </c>
      <c r="B93" s="220"/>
      <c r="C93" s="33"/>
      <c r="D93" s="33"/>
    </row>
    <row r="95" spans="1:4">
      <c r="A95" s="5" t="s">
        <v>257</v>
      </c>
      <c r="B95" s="298">
        <f>963.7+328</f>
        <v>1291.7</v>
      </c>
      <c r="C95" s="5" t="s">
        <v>191</v>
      </c>
    </row>
    <row r="96" spans="1:4">
      <c r="A96" s="5" t="s">
        <v>210</v>
      </c>
      <c r="B96" s="298">
        <v>250</v>
      </c>
      <c r="C96" s="5" t="s">
        <v>191</v>
      </c>
    </row>
    <row r="97" spans="1:3">
      <c r="A97" s="5" t="s">
        <v>211</v>
      </c>
      <c r="B97" s="298">
        <f>+C99</f>
        <v>32.084500000000006</v>
      </c>
      <c r="C97" s="5" t="s">
        <v>191</v>
      </c>
    </row>
    <row r="98" spans="1:3">
      <c r="A98" s="5" t="s">
        <v>212</v>
      </c>
      <c r="B98" s="298">
        <f>+B95*0.035*25%</f>
        <v>11.302375000000001</v>
      </c>
    </row>
    <row r="99" spans="1:3">
      <c r="A99" s="5" t="s">
        <v>213</v>
      </c>
      <c r="B99" s="298">
        <f>+(B95-B96)*0.035*25%</f>
        <v>9.1148750000000014</v>
      </c>
      <c r="C99" s="304">
        <f>SUM(B98:B101)</f>
        <v>32.084500000000006</v>
      </c>
    </row>
    <row r="100" spans="1:3">
      <c r="A100" s="5" t="s">
        <v>214</v>
      </c>
      <c r="B100" s="298">
        <f>+(B95-B96*2)*0.035*25%</f>
        <v>6.9273750000000014</v>
      </c>
      <c r="C100" s="305"/>
    </row>
    <row r="101" spans="1:3">
      <c r="A101" s="5" t="s">
        <v>215</v>
      </c>
      <c r="B101" s="298">
        <f>+(B95-B96*3)*0.035*25%</f>
        <v>4.7398750000000005</v>
      </c>
    </row>
  </sheetData>
  <mergeCells count="2">
    <mergeCell ref="E64:F64"/>
    <mergeCell ref="C99:C100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Actif</vt:lpstr>
      <vt:lpstr>Passif</vt:lpstr>
      <vt:lpstr>CDR</vt:lpstr>
      <vt:lpstr>Actionnariat</vt:lpstr>
      <vt:lpstr>Données XXX</vt:lpstr>
      <vt:lpstr>P&amp;L_2010_et_2011</vt:lpstr>
      <vt:lpstr>Hypothèses CDR</vt:lpstr>
      <vt:lpstr>CDR mensuel</vt:lpstr>
      <vt:lpstr>Hypothèses tréso.</vt:lpstr>
      <vt:lpstr>Tréso.mensuelle</vt:lpstr>
      <vt:lpstr>Comparaison_2009_2010_vs_budget</vt:lpstr>
      <vt:lpstr>Feuil1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WINGATE</dc:creator>
  <cp:lastModifiedBy>PHILIPPE STEMPERT</cp:lastModifiedBy>
  <cp:lastPrinted>2011-03-28T13:18:19Z</cp:lastPrinted>
  <dcterms:created xsi:type="dcterms:W3CDTF">2011-02-14T10:11:12Z</dcterms:created>
  <dcterms:modified xsi:type="dcterms:W3CDTF">2012-11-26T15:30:25Z</dcterms:modified>
</cp:coreProperties>
</file>